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6" rupBuild="24827"/>
  <workbookPr defaultThemeVersion="124226"/>
  <bookViews>
    <workbookView xWindow="-120" yWindow="-120" windowWidth="20730" windowHeight="11160" activeTab="0" tabRatio="846"/>
  </bookViews>
  <sheets>
    <sheet name="Data Form" sheetId="1" r:id="rId1"/>
    <sheet name="Data" sheetId="2" r:id="rId2"/>
    <sheet name="ANNEXURE I" sheetId="3" r:id="rId3"/>
    <sheet name="ANNEXURE II" sheetId="4" r:id="rId4"/>
    <sheet name="FORM16(PAGE1)" sheetId="5" r:id="rId5"/>
    <sheet name="FORM16(PAGE2)" sheetId="6" r:id="rId6"/>
    <sheet name="Form 10E" sheetId="7" r:id="rId7" state="hidden"/>
    <sheet name="House Rent" sheetId="8" r:id="rId8"/>
    <sheet name="Form12BB" sheetId="9" r:id="rId9"/>
    <sheet name="Form10-I" sheetId="10" r:id="rId10"/>
    <sheet name="Form10-IA" sheetId="11" r:id="rId11"/>
    <sheet name="Sheet4" sheetId="12" r:id="rId12" state="hidden"/>
  </sheets>
  <definedNames>
    <definedName name="_xlnm._FilterDatabase" localSheetId="1" hidden="1">Data!$F$10:$H$27</definedName>
    <definedName name="Designations">Sheet4!$I$15:$I$23</definedName>
    <definedName name="MBDH">Data!$J$21:$M$34</definedName>
    <definedName name="MonthDays">Sheet4!$J$3:$J$33</definedName>
    <definedName name="_xlnm.Print_Area" localSheetId="2">'ANNEXURE I'!$A$1:$X$28</definedName>
    <definedName name="_xlnm.Print_Area" localSheetId="3">'ANNEXURE II'!$A$1:$L$72</definedName>
    <definedName name="_xlnm.Print_Area" localSheetId="0">'Data Form'!$A$1:$H$46</definedName>
    <definedName name="_xlnm.Print_Area" localSheetId="6">'Form 10E'!$A$1:$AF$85</definedName>
    <definedName name="_xlnm.Print_Area" localSheetId="9">'Form10-I'!$B$2:$L$55</definedName>
    <definedName name="_xlnm.Print_Area" localSheetId="10">'Form10-IA'!$B$4:$K$34</definedName>
    <definedName name="_xlnm.Print_Area" localSheetId="8">Form12BB!$A$1:$G$59</definedName>
    <definedName name="_xlnm.Print_Area" localSheetId="4">'FORM16(PAGE1)'!$A$1:$M$62</definedName>
    <definedName name="_xlnm.Print_Area" localSheetId="5">'FORM16(PAGE2)'!$A$1:$L$65</definedName>
    <definedName name="_xlnm.Print_Area" localSheetId="7">'House Rent'!$C$3:$Y$29</definedName>
    <definedName name="Sal">Data!$J$100:$Z$114</definedName>
    <definedName name="table">Data!$J$101:$Z$114</definedName>
    <definedName name="Z_1C732106_B334_45C3_AB62_47CFE9959EEB_.wvu.Cols" localSheetId="1" hidden="1">Data!$BB:$BB</definedName>
    <definedName name="Z_1C732106_B334_45C3_AB62_47CFE9959EEB_.wvu.Cols" localSheetId="8" hidden="1">Form12BB!$A:$A</definedName>
    <definedName name="Z_1C732106_B334_45C3_AB62_47CFE9959EEB_.wvu.FilterData" localSheetId="1" hidden="1">Data!$F$10:$H$27</definedName>
    <definedName name="Z_1C732106_B334_45C3_AB62_47CFE9959EEB_.wvu.PrintArea" localSheetId="2" hidden="1">'ANNEXURE I'!$A$1:$X$28</definedName>
    <definedName name="Z_1C732106_B334_45C3_AB62_47CFE9959EEB_.wvu.PrintArea" localSheetId="3" hidden="1">'ANNEXURE II'!$A$1:$L$72</definedName>
    <definedName name="Z_1C732106_B334_45C3_AB62_47CFE9959EEB_.wvu.PrintArea" localSheetId="6" hidden="1">'Form 10E'!$A$1:$AF$85</definedName>
    <definedName name="Z_1C732106_B334_45C3_AB62_47CFE9959EEB_.wvu.PrintArea" localSheetId="9" hidden="1">'Form10-I'!$B$2:$L$55</definedName>
    <definedName name="Z_1C732106_B334_45C3_AB62_47CFE9959EEB_.wvu.PrintArea" localSheetId="10" hidden="1">'Form10-IA'!$B$4:$K$34</definedName>
    <definedName name="Z_1C732106_B334_45C3_AB62_47CFE9959EEB_.wvu.PrintArea" localSheetId="8" hidden="1">Form12BB!$A$1:$G$59</definedName>
    <definedName name="Z_1C732106_B334_45C3_AB62_47CFE9959EEB_.wvu.PrintArea" localSheetId="7" hidden="1">'House Rent'!$C$3:$Y$29</definedName>
    <definedName name="Z_1C732106_B334_45C3_AB62_47CFE9959EEB_.wvu.Rows" localSheetId="4" hidden="1">'FORM16(PAGE1)'!$10:$10</definedName>
    <definedName name="Z_1C732106_B334_45C3_AB62_47CFE9959EEB_.wvu.Rows" localSheetId="5" hidden="1">'FORM16(PAGE2)'!$59:$59</definedName>
    <definedName name="Z_27112996_90D2_4DC8_8106_AD2D0EF0ACBC_.wvu.Cols" localSheetId="1" hidden="1">Data!$P:$X,Data!$BB:$BB</definedName>
    <definedName name="Z_27112996_90D2_4DC8_8106_AD2D0EF0ACBC_.wvu.Cols" localSheetId="8" hidden="1">Form12BB!$A:$A</definedName>
    <definedName name="Z_27112996_90D2_4DC8_8106_AD2D0EF0ACBC_.wvu.FilterData" localSheetId="1" hidden="1">Data!$F$10:$H$27</definedName>
    <definedName name="Z_27112996_90D2_4DC8_8106_AD2D0EF0ACBC_.wvu.PrintArea" localSheetId="2" hidden="1">'ANNEXURE I'!$A$1:$X$28</definedName>
    <definedName name="Z_27112996_90D2_4DC8_8106_AD2D0EF0ACBC_.wvu.PrintArea" localSheetId="3" hidden="1">'ANNEXURE II'!$A$1:$L$72</definedName>
    <definedName name="Z_27112996_90D2_4DC8_8106_AD2D0EF0ACBC_.wvu.PrintArea" localSheetId="9" hidden="1">'Form10-I'!$B$2:$L$55</definedName>
    <definedName name="Z_27112996_90D2_4DC8_8106_AD2D0EF0ACBC_.wvu.PrintArea" localSheetId="10" hidden="1">'Form10-IA'!$B$4:$K$34</definedName>
    <definedName name="Z_27112996_90D2_4DC8_8106_AD2D0EF0ACBC_.wvu.PrintArea" localSheetId="8" hidden="1">Form12BB!$A$1:$G$59</definedName>
    <definedName name="Z_27112996_90D2_4DC8_8106_AD2D0EF0ACBC_.wvu.PrintArea" localSheetId="7" hidden="1">'House Rent'!$C$2:$Y$30</definedName>
    <definedName name="Z_27112996_90D2_4DC8_8106_AD2D0EF0ACBC_.wvu.Rows" localSheetId="4" hidden="1">'FORM16(PAGE1)'!$10:$10</definedName>
    <definedName name="Z_27112996_90D2_4DC8_8106_AD2D0EF0ACBC_.wvu.Rows" localSheetId="5" hidden="1">'FORM16(PAGE2)'!$59:$59</definedName>
    <definedName name="Z_46583F9A_1084_4FE6_BB84_CE252BAE09F7_.wvu.Cols" localSheetId="1" hidden="1">Data!$P:$X,Data!$BB:$BB</definedName>
    <definedName name="Z_46583F9A_1084_4FE6_BB84_CE252BAE09F7_.wvu.Cols" localSheetId="8" hidden="1">Form12BB!$A:$A</definedName>
    <definedName name="Z_46583F9A_1084_4FE6_BB84_CE252BAE09F7_.wvu.FilterData" localSheetId="1" hidden="1">Data!$F$10:$H$27</definedName>
    <definedName name="Z_46583F9A_1084_4FE6_BB84_CE252BAE09F7_.wvu.PrintArea" localSheetId="2" hidden="1">'ANNEXURE I'!$A$1:$X$28</definedName>
    <definedName name="Z_46583F9A_1084_4FE6_BB84_CE252BAE09F7_.wvu.PrintArea" localSheetId="3" hidden="1">'ANNEXURE II'!$A$1:$L$72</definedName>
    <definedName name="Z_46583F9A_1084_4FE6_BB84_CE252BAE09F7_.wvu.PrintArea" localSheetId="9" hidden="1">'Form10-I'!$B$2:$L$55</definedName>
    <definedName name="Z_46583F9A_1084_4FE6_BB84_CE252BAE09F7_.wvu.PrintArea" localSheetId="10" hidden="1">'Form10-IA'!$B$4:$K$34</definedName>
    <definedName name="Z_46583F9A_1084_4FE6_BB84_CE252BAE09F7_.wvu.PrintArea" localSheetId="8" hidden="1">Form12BB!$A$1:$G$59</definedName>
    <definedName name="Z_46583F9A_1084_4FE6_BB84_CE252BAE09F7_.wvu.PrintArea" localSheetId="7" hidden="1">'House Rent'!$C$2:$Y$30</definedName>
    <definedName name="Z_46583F9A_1084_4FE6_BB84_CE252BAE09F7_.wvu.Rows" localSheetId="4" hidden="1">'FORM16(PAGE1)'!$10:$10</definedName>
    <definedName name="Z_46583F9A_1084_4FE6_BB84_CE252BAE09F7_.wvu.Rows" localSheetId="5" hidden="1">'FORM16(PAGE2)'!$59:$59</definedName>
    <definedName name="Z_C659B68E_3D9B_4C6C_B11E_6C9A51B357A6_.wvu.Cols" localSheetId="1" hidden="1">Data!$BB:$BB</definedName>
    <definedName name="Z_C659B68E_3D9B_4C6C_B11E_6C9A51B357A6_.wvu.Cols" localSheetId="8" hidden="1">Form12BB!$A:$A</definedName>
    <definedName name="Z_C659B68E_3D9B_4C6C_B11E_6C9A51B357A6_.wvu.FilterData" localSheetId="1" hidden="1">Data!$F$10:$H$27</definedName>
    <definedName name="Z_C659B68E_3D9B_4C6C_B11E_6C9A51B357A6_.wvu.PrintArea" localSheetId="2" hidden="1">'ANNEXURE I'!$A$1:$X$28</definedName>
    <definedName name="Z_C659B68E_3D9B_4C6C_B11E_6C9A51B357A6_.wvu.PrintArea" localSheetId="3" hidden="1">'ANNEXURE II'!$A$1:$L$72</definedName>
    <definedName name="Z_C659B68E_3D9B_4C6C_B11E_6C9A51B357A6_.wvu.PrintArea" localSheetId="6" hidden="1">'Form 10E'!$A$1:$AF$85</definedName>
    <definedName name="Z_C659B68E_3D9B_4C6C_B11E_6C9A51B357A6_.wvu.PrintArea" localSheetId="9" hidden="1">'Form10-I'!$B$2:$L$55</definedName>
    <definedName name="Z_C659B68E_3D9B_4C6C_B11E_6C9A51B357A6_.wvu.PrintArea" localSheetId="10" hidden="1">'Form10-IA'!$B$4:$K$34</definedName>
    <definedName name="Z_C659B68E_3D9B_4C6C_B11E_6C9A51B357A6_.wvu.PrintArea" localSheetId="8" hidden="1">Form12BB!$A$1:$G$59</definedName>
    <definedName name="Z_C659B68E_3D9B_4C6C_B11E_6C9A51B357A6_.wvu.PrintArea" localSheetId="7" hidden="1">'House Rent'!$C$3:$Y$29</definedName>
    <definedName name="Z_C659B68E_3D9B_4C6C_B11E_6C9A51B357A6_.wvu.Rows" localSheetId="4" hidden="1">'FORM16(PAGE1)'!$10:$10</definedName>
    <definedName name="Z_C659B68E_3D9B_4C6C_B11E_6C9A51B357A6_.wvu.Rows" localSheetId="5" hidden="1">'FORM16(PAGE2)'!$59:$59</definedName>
  </definedNames>
</workbook>
</file>

<file path=xl/sharedStrings.xml><?xml version="1.0" encoding="utf-8"?>
<sst xmlns="http://schemas.openxmlformats.org/spreadsheetml/2006/main" uniqueCount="802" count="802">
  <si>
    <t>Name</t>
  </si>
  <si>
    <t>Office Name</t>
  </si>
  <si>
    <t>Village</t>
  </si>
  <si>
    <t>Mandal</t>
  </si>
  <si>
    <t>Treasury ID</t>
  </si>
  <si>
    <t>PAN No</t>
  </si>
  <si>
    <t>Designation</t>
  </si>
  <si>
    <t>ZPPF</t>
  </si>
  <si>
    <t>If Changed</t>
  </si>
  <si>
    <t>APGLI</t>
  </si>
  <si>
    <t>LIC (Salary)</t>
  </si>
  <si>
    <t>PLI</t>
  </si>
  <si>
    <t>SBI LIFE INSURANCE</t>
  </si>
  <si>
    <t>Savings</t>
  </si>
  <si>
    <t xml:space="preserve">BASIC PAYS </t>
  </si>
  <si>
    <t>INCREMENTS</t>
  </si>
  <si>
    <t>BASIC PAY OF THE EMPLOYEE</t>
  </si>
  <si>
    <t>JAN18</t>
  </si>
  <si>
    <t>FEB18</t>
  </si>
  <si>
    <t>No Change</t>
  </si>
  <si>
    <t>HRA  %</t>
  </si>
  <si>
    <t>Incriment Month</t>
  </si>
  <si>
    <t>Others</t>
  </si>
  <si>
    <t>CPS</t>
  </si>
  <si>
    <t>DEDUCTIONS 80DD</t>
  </si>
  <si>
    <t>80DDB Expenditure on Medical Treatment</t>
  </si>
  <si>
    <t xml:space="preserve">80D Preventive Health Checkup </t>
  </si>
  <si>
    <t xml:space="preserve">80D Medical Insurance Premium </t>
  </si>
  <si>
    <t>Self</t>
  </si>
  <si>
    <t>EHS</t>
  </si>
  <si>
    <t>Month</t>
  </si>
  <si>
    <t>AAS Taken</t>
  </si>
  <si>
    <t>YES</t>
  </si>
  <si>
    <t>NO</t>
  </si>
  <si>
    <t>HMA</t>
  </si>
  <si>
    <t>FPI</t>
  </si>
  <si>
    <t>Addl Inc.</t>
  </si>
  <si>
    <t>GIS</t>
  </si>
  <si>
    <t>CCA</t>
  </si>
  <si>
    <t>Living in</t>
  </si>
  <si>
    <t>Accepted Amt</t>
  </si>
  <si>
    <t>Enter your amt</t>
  </si>
  <si>
    <t>EWF</t>
  </si>
  <si>
    <t>SWF</t>
  </si>
  <si>
    <t>Surrender Leave</t>
  </si>
  <si>
    <t>Sri.</t>
  </si>
  <si>
    <t>ADVANCE TAX PAID</t>
  </si>
  <si>
    <t>Total Advance Tax</t>
  </si>
  <si>
    <t xml:space="preserve"> </t>
  </si>
  <si>
    <t>S.No</t>
  </si>
  <si>
    <t>Pay</t>
  </si>
  <si>
    <t>DA</t>
  </si>
  <si>
    <t>HRA</t>
  </si>
  <si>
    <t>PHC</t>
  </si>
  <si>
    <t>Gross Total</t>
  </si>
  <si>
    <t>AP GLI</t>
  </si>
  <si>
    <t xml:space="preserve">GIS </t>
  </si>
  <si>
    <t>PT</t>
  </si>
  <si>
    <t>LIC (SSS)</t>
  </si>
  <si>
    <t>SWF &amp; EWF</t>
  </si>
  <si>
    <t>EHF</t>
  </si>
  <si>
    <t>Total Deductions</t>
  </si>
  <si>
    <t>NET</t>
  </si>
  <si>
    <t>DA    %</t>
  </si>
  <si>
    <t>HRA %</t>
  </si>
  <si>
    <t xml:space="preserve">Surrender Leave </t>
  </si>
  <si>
    <t>TOTAL</t>
  </si>
  <si>
    <t>Signature of the DDO</t>
  </si>
  <si>
    <t>Signature of the Assese</t>
  </si>
  <si>
    <t>Basic</t>
  </si>
  <si>
    <t>HM</t>
  </si>
  <si>
    <t>LIC</t>
  </si>
  <si>
    <t>EL HRA</t>
  </si>
  <si>
    <t>No Days</t>
  </si>
  <si>
    <t>EL DA</t>
  </si>
  <si>
    <t>DA I</t>
  </si>
  <si>
    <t>DA II</t>
  </si>
  <si>
    <t>ALREADY DRAWN</t>
  </si>
  <si>
    <t>TO BE DRAWN</t>
  </si>
  <si>
    <t>DIFFERENCE</t>
  </si>
  <si>
    <t>DAYS</t>
  </si>
  <si>
    <t>PAY</t>
  </si>
  <si>
    <t>Basics</t>
  </si>
  <si>
    <t>ELBasic</t>
  </si>
  <si>
    <t>ANNEXURE - II</t>
  </si>
  <si>
    <t>Office</t>
  </si>
  <si>
    <t>Tr ID</t>
  </si>
  <si>
    <t xml:space="preserve">Living in </t>
  </si>
  <si>
    <t xml:space="preserve">PAN  No:  </t>
  </si>
  <si>
    <t>Gross Salary………</t>
  </si>
  <si>
    <t>Rs.</t>
  </si>
  <si>
    <t>H.R.A. Exemption as per eligibility U/s. 10(13-A)</t>
  </si>
  <si>
    <t>a)</t>
  </si>
  <si>
    <t>Actual HRA received</t>
  </si>
  <si>
    <t>b)</t>
  </si>
  <si>
    <t>Rent paid in excess of 10% Salary</t>
  </si>
  <si>
    <t>rent @ Rs.</t>
  </si>
  <si>
    <t>c)</t>
  </si>
  <si>
    <t>40% of Salary (Salary means Basic Pay+D.A)</t>
  </si>
  <si>
    <t>Total Salary (2-3)</t>
  </si>
  <si>
    <t>Deductions from Salary Income</t>
  </si>
  <si>
    <t>Exemption from Conveyance Allowance U/s. 10(14) (i)</t>
  </si>
  <si>
    <t>Profession Tax U/s 16 (3) B</t>
  </si>
  <si>
    <t>Income From Salary (4-5)</t>
  </si>
  <si>
    <t>Add: Income From other sources</t>
  </si>
  <si>
    <t>Add: Income From Capital Gains</t>
  </si>
  <si>
    <t>Income from House Property U/s 24(vi)</t>
  </si>
  <si>
    <t>Deductions</t>
  </si>
  <si>
    <t>d)</t>
  </si>
  <si>
    <t>e)</t>
  </si>
  <si>
    <t>f)</t>
  </si>
  <si>
    <t>g)</t>
  </si>
  <si>
    <t>80E Interest on Educational Loan</t>
  </si>
  <si>
    <t>h)</t>
  </si>
  <si>
    <t>i)</t>
  </si>
  <si>
    <t>j)</t>
  </si>
  <si>
    <t>80D Contribution to Medical Heath Scheme</t>
  </si>
  <si>
    <t>k)</t>
  </si>
  <si>
    <t>(                                               )</t>
  </si>
  <si>
    <t>TOTAL-----------</t>
  </si>
  <si>
    <t>Savings U/s 80C (Limited to 1.5lakh)</t>
  </si>
  <si>
    <t>A/c (</t>
  </si>
  <si>
    <t>)</t>
  </si>
  <si>
    <t>Pol. No.(</t>
  </si>
  <si>
    <t>Total Savings</t>
  </si>
  <si>
    <t>Long Term Savings under 80CCF</t>
  </si>
  <si>
    <t>Tax on Income</t>
  </si>
  <si>
    <t>Total taxable Income after rebate:</t>
  </si>
  <si>
    <t>Details of Advance Tax Deductions</t>
  </si>
  <si>
    <t>Upto</t>
  </si>
  <si>
    <t>Total Advance Tax    Rs.</t>
  </si>
  <si>
    <t>Signature of the Drawing Officer</t>
  </si>
  <si>
    <t>Signature of the Employee</t>
  </si>
  <si>
    <t>Rent/Own House</t>
  </si>
  <si>
    <t>HRA CLAIMED</t>
  </si>
  <si>
    <t>HRA EXEMPTION</t>
  </si>
  <si>
    <t>S.Citizen</t>
  </si>
  <si>
    <t>Net taxable</t>
  </si>
  <si>
    <t>Advance Tax upto Nov</t>
  </si>
  <si>
    <t>NAME AND ADDRESS OF THE EMPLOYER</t>
  </si>
  <si>
    <t>NAME AND DESIGNATION OF THE EMPLOYEE</t>
  </si>
  <si>
    <t>TAN No. of DDO</t>
  </si>
  <si>
    <t>PAN oF Employee</t>
  </si>
  <si>
    <t>Acknowledgement Nos. of all quarterly statements of TDS under sub-section 200 as provided by TIN Facilitation Center or NSDL web-site.</t>
  </si>
  <si>
    <t>Quarter</t>
  </si>
  <si>
    <t>Acknowledgement No.</t>
  </si>
  <si>
    <t>Period</t>
  </si>
  <si>
    <t>Assessment</t>
  </si>
  <si>
    <t>From</t>
  </si>
  <si>
    <t>To</t>
  </si>
  <si>
    <t>Year</t>
  </si>
  <si>
    <t>DETAILS OF SALARY PAID AND ANY OTHER INCOME AND TAX DEDUCTED</t>
  </si>
  <si>
    <t>Gross Salary</t>
  </si>
  <si>
    <t>Salary as per provisions cotained in section 17 (1)</t>
  </si>
  <si>
    <t>Value of percuisites under section 17(2)</t>
  </si>
  <si>
    <t>(As Per Form No. 12BA, Wherever applicable)</t>
  </si>
  <si>
    <t>Profits in lieu of salary under section 17(3)</t>
  </si>
  <si>
    <t>(as per Form No. 12BA, Wherver applicable)</t>
  </si>
  <si>
    <t>Total</t>
  </si>
  <si>
    <t>Less: Allowance to the extent exempted U/s 10</t>
  </si>
  <si>
    <t>House Rent Allowence</t>
  </si>
  <si>
    <t>Balance (1-2)</t>
  </si>
  <si>
    <t>Tax on Employment</t>
  </si>
  <si>
    <t>Aggreate of 4 (a)&amp;(b)</t>
  </si>
  <si>
    <t>INCOME CHARGEABLE UNDER THE HEAD SALARIES (3-5)</t>
  </si>
  <si>
    <t>Add: Any other income reported by the employee</t>
  </si>
  <si>
    <t>Add: Income of Capital Gains</t>
  </si>
  <si>
    <t>Gross Total Income (6+7)</t>
  </si>
  <si>
    <t>Deductions Under Chapter VI-A</t>
  </si>
  <si>
    <t>A)</t>
  </si>
  <si>
    <t>UnderSection 80C,80CCC,80CCD.</t>
  </si>
  <si>
    <t>Gross</t>
  </si>
  <si>
    <t>Qualifying</t>
  </si>
  <si>
    <t>Deductible</t>
  </si>
  <si>
    <t>Section 80C</t>
  </si>
  <si>
    <t>Amount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</si>
  <si>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</si>
  <si>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</si>
  <si>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</si>
  <si>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</si>
  <si>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</si>
  <si>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</si>
  <si>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</si>
  <si>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</si>
  <si>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</si>
  <si>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</si>
  <si>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</si>
  <si>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Total Under Section 80C…</t>
  </si>
  <si>
    <t>Contribution to Pension Fund</t>
  </si>
  <si>
    <t>Note:</t>
  </si>
  <si>
    <t>1.aggregate amount deductible under section 80c shall not exceed one lakh fifty thousand rupees.</t>
  </si>
  <si>
    <t>2.aggregate amount deductible under section 80C,80CCC,80CCD, shall not exceed 1.5 lakh rupees.</t>
  </si>
  <si>
    <t>Designation-</t>
  </si>
  <si>
    <t>Full Name--</t>
  </si>
  <si>
    <t>Date:</t>
  </si>
  <si>
    <t>Signature of the person responsible for deduction of tax</t>
  </si>
  <si>
    <t>Place:</t>
  </si>
  <si>
    <t>Sign--</t>
  </si>
  <si>
    <t>deducted   at  source   and  paid  to  the credit  of the central Government.   I  further certify  that  the  Informtion givin above is true and  correct based on the books of account, documents and other available records.</t>
  </si>
  <si>
    <t>Identification No</t>
  </si>
  <si>
    <t>Deposited</t>
  </si>
  <si>
    <t>Branch</t>
  </si>
  <si>
    <t>vocher/chalana</t>
  </si>
  <si>
    <t>Which Tax</t>
  </si>
  <si>
    <t>of Bank</t>
  </si>
  <si>
    <t>No. (if any)</t>
  </si>
  <si>
    <t>Cess</t>
  </si>
  <si>
    <t>No.</t>
  </si>
  <si>
    <t>Transfer</t>
  </si>
  <si>
    <t xml:space="preserve">Date on </t>
  </si>
  <si>
    <t>BSR Code</t>
  </si>
  <si>
    <t>Cheque/DD</t>
  </si>
  <si>
    <t>Total Tax</t>
  </si>
  <si>
    <t>Education</t>
  </si>
  <si>
    <t>Surcharge</t>
  </si>
  <si>
    <t>TDS</t>
  </si>
  <si>
    <t>Sl.</t>
  </si>
  <si>
    <t>(The employer is to provide tranction - wise details of tax deducted and deposited)</t>
  </si>
  <si>
    <t>DETAILS OF TAX DEDUCTED AND DEPOSITED INTO CENTRAL GOVERNMENT ACCOUNT</t>
  </si>
  <si>
    <t>TAX PAYABLE / REFUNDABLE (17-18)</t>
  </si>
  <si>
    <t xml:space="preserve">     Employee U/S 192 (1A) on perquisited U/S 17 (2)</t>
  </si>
  <si>
    <t xml:space="preserve"> (b)Tax paid by the employer on behalf of the</t>
  </si>
  <si>
    <r>
      <t>Less</t>
    </r>
    <r>
      <rPr>
        <sz val="10"/>
        <rFont val="Book Antiqua"/>
      </rPr>
      <t>:(a) Tax deducted at source U/s 192(1)</t>
    </r>
  </si>
  <si>
    <t>TAX PAYABLE (15-16)</t>
  </si>
  <si>
    <t>Total taxable income after rebate :</t>
  </si>
  <si>
    <t>TAX ON TOTAL INCOME Rs.</t>
  </si>
  <si>
    <t>TOTAL INCOME  (8-10)</t>
  </si>
  <si>
    <t>Aggregate of Deductible Amounts U/Chapter VIA (A+B)..</t>
  </si>
  <si>
    <t>Total Under Sections 80G,80E,80DD etc…..</t>
  </si>
  <si>
    <t>( Under Sections 80E,80G,80DD etc )</t>
  </si>
  <si>
    <t>Other Sections Under Chapter VI A</t>
  </si>
  <si>
    <t>B)</t>
  </si>
  <si>
    <t>RECEIPT OF HOUSE RENT</t>
  </si>
  <si>
    <t>E. Cess</t>
  </si>
  <si>
    <t>DDO DESIGNATION</t>
  </si>
  <si>
    <t>DDO NAME</t>
  </si>
  <si>
    <t>DDO OFFICE</t>
  </si>
  <si>
    <t>DDO TAN NO</t>
  </si>
  <si>
    <t>MANDAL</t>
  </si>
  <si>
    <t>District</t>
  </si>
  <si>
    <t>Aviva Life Insurance</t>
  </si>
  <si>
    <t>Bajaj Allianz Life Insurancce</t>
  </si>
  <si>
    <t>Birla Sun Life Insurance</t>
  </si>
  <si>
    <t>Equity linked Savings Scheme</t>
  </si>
  <si>
    <t>Exide Life Insurance</t>
  </si>
  <si>
    <t>80C</t>
  </si>
  <si>
    <t>Personal Details</t>
  </si>
  <si>
    <t>DDO Details</t>
  </si>
  <si>
    <t>Salary Details</t>
  </si>
  <si>
    <t>Promotion</t>
  </si>
  <si>
    <t xml:space="preserve">Total </t>
  </si>
  <si>
    <t>Rented house</t>
  </si>
  <si>
    <t>You can change here</t>
  </si>
  <si>
    <t>Per month</t>
  </si>
  <si>
    <t>Your house Rent can be</t>
  </si>
  <si>
    <t>MaxDays</t>
  </si>
  <si>
    <t>Months</t>
  </si>
  <si>
    <t>SGT</t>
  </si>
  <si>
    <t>LP</t>
  </si>
  <si>
    <t>SA(L)</t>
  </si>
  <si>
    <t>SA</t>
  </si>
  <si>
    <t>PSHM</t>
  </si>
  <si>
    <t>Total EL</t>
  </si>
  <si>
    <t>PPF (Public Provident Fund)</t>
  </si>
  <si>
    <t>EPF (Employees’ Provident Fund)</t>
  </si>
  <si>
    <t>5 years Bank or Post office Tax saving Deposits</t>
  </si>
  <si>
    <t>National Savings Certificates (NSC)</t>
  </si>
  <si>
    <t>ELSS Mutual Funds (Equity Linked Saving Schemes)</t>
  </si>
  <si>
    <t>Children’s Tuition Fees</t>
  </si>
  <si>
    <t>Life Insurance Premium</t>
  </si>
  <si>
    <t>Sukanya Samriddhi Account Deposit Scheme</t>
  </si>
  <si>
    <t>SCSS (Post office Senior Citizen Savings Scheme)</t>
  </si>
  <si>
    <t>Repayment of Home Loan (Principal only)</t>
  </si>
  <si>
    <t>NABARD rural Bonds</t>
  </si>
  <si>
    <t>Stamp duty charges for purchase of a new house</t>
  </si>
  <si>
    <t>(Under Section 1 (13-A) of Income Tax Act )</t>
  </si>
  <si>
    <t>from</t>
  </si>
  <si>
    <t>(Tenant)</t>
  </si>
  <si>
    <t>Amount in words</t>
  </si>
  <si>
    <t>towards the rent @</t>
  </si>
  <si>
    <t>Per Month</t>
  </si>
  <si>
    <t>during the financial year</t>
  </si>
  <si>
    <t>in respect of</t>
  </si>
  <si>
    <t>Residence Address</t>
  </si>
  <si>
    <t>Signature of the Tenant</t>
  </si>
  <si>
    <t>Other</t>
  </si>
  <si>
    <t>Any Other</t>
  </si>
  <si>
    <t>FORM NO.12BB</t>
  </si>
  <si>
    <t>(See rule 26C)</t>
  </si>
  <si>
    <t>Statement showing particulars of claims by an employee for deduction of tax under section 192</t>
  </si>
  <si>
    <t>Details of claims and evidence thereof  .........................</t>
  </si>
  <si>
    <t>S.No.</t>
  </si>
  <si>
    <t>Nature of claim</t>
  </si>
  <si>
    <t>Amount (Rs.)</t>
  </si>
  <si>
    <t>Evidence / particulars</t>
  </si>
  <si>
    <t>(1)</t>
  </si>
  <si>
    <t>(2)</t>
  </si>
  <si>
    <t>(3)</t>
  </si>
  <si>
    <t>(4)</t>
  </si>
  <si>
    <t>House Rent Allowance:</t>
  </si>
  <si>
    <t>(iii) Address of the landlord</t>
  </si>
  <si>
    <t>(iv) Permanent Account Number of the landlord</t>
  </si>
  <si>
    <t>Leave travel concessions or assistance</t>
  </si>
  <si>
    <t>Deduction of interest on borrowing:</t>
  </si>
  <si>
    <t>(i) Interest payable/paid to the lender</t>
  </si>
  <si>
    <t>(ii) Name of the lender</t>
  </si>
  <si>
    <t>(iii) Address of the lender</t>
  </si>
  <si>
    <t>(iv) Permanent Account Number of the lender</t>
  </si>
  <si>
    <t xml:space="preserve">(a)   Financial Institutions(if available)  </t>
  </si>
  <si>
    <t>(b)   Employer(if available)</t>
  </si>
  <si>
    <t>(c)    Others</t>
  </si>
  <si>
    <t>Deduction under Chapter VI-A</t>
  </si>
  <si>
    <t>(A)</t>
  </si>
  <si>
    <t>Section 80C,80CCC and 80CCD</t>
  </si>
  <si>
    <t xml:space="preserve">   (i) Section 80C</t>
  </si>
  <si>
    <t>(a)</t>
  </si>
  <si>
    <t>(b)</t>
  </si>
  <si>
    <t xml:space="preserve">(c) 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</si>
  <si>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</si>
  <si>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</si>
  <si>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</si>
  <si>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</si>
  <si>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</si>
  <si>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</si>
  <si>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</si>
  <si>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</si>
  <si>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</si>
  <si>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80CCD</t>
  </si>
  <si>
    <t>(B)</t>
  </si>
  <si>
    <t>Other sections  under Chapter VI-A.
      (e.g. 80E, 80G, 80TTA, etc.)</t>
  </si>
  <si>
    <t>(II)</t>
  </si>
  <si>
    <t>(iii)</t>
  </si>
  <si>
    <t>(iv)</t>
  </si>
  <si>
    <t>(v)</t>
  </si>
  <si>
    <t>(vi)</t>
  </si>
  <si>
    <t>(vii)</t>
  </si>
  <si>
    <t>Verification</t>
  </si>
  <si>
    <t xml:space="preserve">PLACE : </t>
  </si>
  <si>
    <t xml:space="preserve">DATE  : </t>
  </si>
  <si>
    <t>(Signature of the employee)</t>
  </si>
  <si>
    <t>Design :</t>
  </si>
  <si>
    <r>
      <t xml:space="preserve">FORM No. 16
</t>
    </r>
    <r>
      <rPr>
        <sz val="10"/>
        <rFont val="Book Antiqua"/>
      </rPr>
      <t>( Vide rule 31(1)(a) of Income Tax Rules, 1962 )</t>
    </r>
  </si>
  <si>
    <t>Certificate under section 203 of the Income-tax Act, 1961
for Tax deducted at source from income chargeable under the head "Salaries"</t>
  </si>
  <si>
    <t>80CCD(1)B</t>
  </si>
  <si>
    <t>Choose PF/CPS</t>
  </si>
  <si>
    <t>Electoral Trust</t>
  </si>
  <si>
    <t>incr</t>
  </si>
  <si>
    <t>AAS</t>
  </si>
  <si>
    <t>Incriment Date</t>
  </si>
  <si>
    <t>FORM NO. 10-IA</t>
  </si>
  <si>
    <t>[See sub-rule (2) of rule 11A]</t>
  </si>
  <si>
    <t>Certificate of the medical authority for certifying ‘person with disability’, ‘severe disability',</t>
  </si>
  <si>
    <t>autsm', ‘cerebral palsy’ and ‘multiple disability’ for purposes of section 80 DD and section 80U</t>
  </si>
  <si>
    <t>Certificate No.</t>
  </si>
  <si>
    <t>Date :</t>
  </si>
  <si>
    <t xml:space="preserve">         This is to certify that Shri/Smt./Ms.________________________________ son/daughter of</t>
  </si>
  <si>
    <t>Shri____________________________________, age________ years___________male/female*</t>
  </si>
  <si>
    <t>residing at______________________________________, Registration No._______________is a</t>
  </si>
  <si>
    <t xml:space="preserve">person with disability/severe disability* suffering from autism/cerebral palsy/multiple disability.       </t>
  </si>
  <si>
    <t>2. This condition is progressive/non-progressive/likely to improve/not likely to improve*.</t>
  </si>
  <si>
    <t>3. Reassessment is recommended/not recommended after a period of _____months/years</t>
  </si>
  <si>
    <t>Sd/-</t>
  </si>
  <si>
    <t>(Neurologist/Pediatric Neurologist/Civil Surgeon/</t>
  </si>
  <si>
    <t>Chief Medical Officer*)</t>
  </si>
  <si>
    <t>Name :___________________</t>
  </si>
  <si>
    <t>Address of Institution/Government hospital :</t>
  </si>
  <si>
    <t>____________________________________</t>
  </si>
  <si>
    <t>Qualification/designation of specialist :____________________</t>
  </si>
  <si>
    <t>SEAL</t>
  </si>
  <si>
    <t>Signature/Thumb impression* of the patient</t>
  </si>
  <si>
    <t>Note : *Strike out whichever is not applicable.</t>
  </si>
  <si>
    <t>FORM NO. 10-I</t>
  </si>
  <si>
    <t>[See rule 11DD]</t>
  </si>
  <si>
    <t>Certificate of prescribed authority for the purposes of section 80DDB</t>
  </si>
  <si>
    <t xml:space="preserve">      1. Name of the Patient</t>
  </si>
  <si>
    <t xml:space="preserve">      2. Address</t>
  </si>
  <si>
    <t xml:space="preserve">      3. Father’s name</t>
  </si>
  <si>
    <t xml:space="preserve">      4. Name and address of the person on whom the patient is dependent</t>
  </si>
  <si>
    <t xml:space="preserve">          and his relationship with the patient.</t>
  </si>
  <si>
    <t xml:space="preserve">      5. Name of the disease or ailment</t>
  </si>
  <si>
    <t xml:space="preserve">          (please see rule 11DD)</t>
  </si>
  <si>
    <t xml:space="preserve">      6. For diseases or ailments mentioned in item (i) of clause (a) of</t>
  </si>
  <si>
    <t xml:space="preserve">          sub-rule (1), whether the disability is 40% or more (Please specify the extent)</t>
  </si>
  <si>
    <t xml:space="preserve">      7. Name, address, registration number and qualification of the</t>
  </si>
  <si>
    <t xml:space="preserve">          specialist issuing the certificate, along with the name and address</t>
  </si>
  <si>
    <t xml:space="preserve">          of the Government hospital [see rule 11DD(2)] Verification</t>
  </si>
  <si>
    <t>VERIFICATION</t>
  </si>
  <si>
    <t>This is to verify that I, Dr.________________________________________________ s/o (w/o)</t>
  </si>
  <si>
    <t>Shri_____________________, in the case of the patient Shri/Smt./Ms.________________________,</t>
  </si>
  <si>
    <t>after  considering  the  entire  history of  illness,  careful  examination  and  appropriate  investigations,</t>
  </si>
  <si>
    <t>am of the opinion that the patient is suffering from______________________________disease/ailment</t>
  </si>
  <si>
    <t>during the previous year ending on 31st March,_______________________</t>
  </si>
  <si>
    <t>I also certify (only in case of neurological disease) that the extent of disability is more than 40%)</t>
  </si>
  <si>
    <t>(Strike off, if not applicable).</t>
  </si>
  <si>
    <t>I certify that the information furnished above is true to the best of my knowledge.</t>
  </si>
  <si>
    <t>Date _______________                                                                     Signature</t>
  </si>
  <si>
    <t>Place _______________</t>
  </si>
  <si>
    <t xml:space="preserve">                                                                                                (Name and Address)</t>
  </si>
  <si>
    <t xml:space="preserve">   To be countersigned by the Head of the Government hospital, where the prescribed authority is a</t>
  </si>
  <si>
    <t>specialist with post-graduate degree in General or Internal Medicine.</t>
  </si>
  <si>
    <t>Date ______________                                                                    Signature</t>
  </si>
  <si>
    <t>Place ______________</t>
  </si>
  <si>
    <t xml:space="preserve">                                                                                                 (Name and Address)</t>
  </si>
  <si>
    <t>Aadhar No</t>
  </si>
  <si>
    <t>Kadapa</t>
  </si>
  <si>
    <t>Any other Earnings</t>
  </si>
  <si>
    <t>NEW DA</t>
  </si>
  <si>
    <t>OLD DA</t>
  </si>
  <si>
    <t>DIFF</t>
  </si>
  <si>
    <t>Net Taxable</t>
  </si>
  <si>
    <t>SLAB  A</t>
  </si>
  <si>
    <t>Rs.  000000 - Rs.  250000</t>
  </si>
  <si>
    <t>SLAB  B</t>
  </si>
  <si>
    <t>Rs.  250001 - Rs.  500000</t>
  </si>
  <si>
    <t>SLAB  C</t>
  </si>
  <si>
    <t>Rs.  500001 - Rs.1000000</t>
  </si>
  <si>
    <t>SLAB  D</t>
  </si>
  <si>
    <t>Rs.1000001 &amp;    ABOVE</t>
  </si>
  <si>
    <t xml:space="preserve">Rs. 2,50,000 To 5,00,000  </t>
  </si>
  <si>
    <t>Rs.5,00,001 To 10,00,000</t>
  </si>
  <si>
    <t>above Rs.10,00,000</t>
  </si>
  <si>
    <t>Up to Rs. 2,50,000</t>
  </si>
  <si>
    <t>PET</t>
  </si>
  <si>
    <t>Are You Disabled</t>
  </si>
  <si>
    <t>&gt;40%</t>
  </si>
  <si>
    <t>&gt;80%</t>
  </si>
  <si>
    <t>80D Deduction for Disabled dependent</t>
  </si>
  <si>
    <t>PHC Allowence</t>
  </si>
  <si>
    <t>Other Allowence</t>
  </si>
  <si>
    <t>Other Allowences</t>
  </si>
  <si>
    <t>Allowence</t>
  </si>
  <si>
    <t>24B Interest of Housing Loan</t>
  </si>
  <si>
    <t>80E Interest of Educational Loan</t>
  </si>
  <si>
    <t>Do you want to split CPS amount</t>
  </si>
  <si>
    <t>National Pension Scheme U/s 80CCD(1)B</t>
  </si>
  <si>
    <t>80G E.W.F, &amp; S.W.F</t>
  </si>
  <si>
    <t xml:space="preserve">Date of Promotion </t>
  </si>
  <si>
    <t>Option of Promotin incriment</t>
  </si>
  <si>
    <t>GPF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</si>
  <si>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</si>
  <si>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</si>
  <si>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</si>
  <si>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</si>
  <si>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</si>
  <si>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</si>
  <si>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</si>
  <si>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</si>
  <si>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</si>
  <si>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</si>
  <si>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</t>
  </si>
  <si>
    <t>Twelve</t>
  </si>
  <si>
    <t>Thirteen</t>
  </si>
  <si>
    <t>Fourteen</t>
  </si>
  <si>
    <t>Fifteen</t>
  </si>
  <si>
    <t>Sixteen</t>
  </si>
  <si>
    <t>Seventeen</t>
  </si>
  <si>
    <t>Eighteen</t>
  </si>
  <si>
    <t>Nineteen</t>
  </si>
  <si>
    <t>Twenty</t>
  </si>
  <si>
    <t>Thirty</t>
  </si>
  <si>
    <t>Forty</t>
  </si>
  <si>
    <t>Fifty</t>
  </si>
  <si>
    <t>Sixty</t>
  </si>
  <si>
    <t>Seventy</t>
  </si>
  <si>
    <t>Eighty</t>
  </si>
  <si>
    <t>Ninety</t>
  </si>
  <si>
    <t>Length</t>
  </si>
  <si>
    <t>Rent</t>
  </si>
  <si>
    <t>Form 16 back</t>
  </si>
  <si>
    <t>Own house</t>
  </si>
  <si>
    <t>Incriment</t>
  </si>
  <si>
    <t>HRA Change</t>
  </si>
  <si>
    <t>HRA Month</t>
  </si>
  <si>
    <t>PF/CPS</t>
  </si>
  <si>
    <t>PF/CPS Month</t>
  </si>
  <si>
    <t>PF/CPS Change</t>
  </si>
  <si>
    <t>Split CPS</t>
  </si>
  <si>
    <t>APGLI Month</t>
  </si>
  <si>
    <t>APGLI Change</t>
  </si>
  <si>
    <t>EHS Month</t>
  </si>
  <si>
    <t>EHS Change</t>
  </si>
  <si>
    <t>GIS Month</t>
  </si>
  <si>
    <t>GIS Change</t>
  </si>
  <si>
    <t>LIC Month</t>
  </si>
  <si>
    <t>LIC Change</t>
  </si>
  <si>
    <t>HMA Month</t>
  </si>
  <si>
    <t>HMA Change</t>
  </si>
  <si>
    <t>CCA Month</t>
  </si>
  <si>
    <t>CCA Change</t>
  </si>
  <si>
    <t>Disabled</t>
  </si>
  <si>
    <t>AAS Month</t>
  </si>
  <si>
    <t>AAS Date</t>
  </si>
  <si>
    <t>SL</t>
  </si>
  <si>
    <t>SL Month</t>
  </si>
  <si>
    <t>SL Days</t>
  </si>
  <si>
    <t>Promotion Month</t>
  </si>
  <si>
    <t>Promotion Day</t>
  </si>
  <si>
    <t>Promotion option</t>
  </si>
  <si>
    <t>Savings 1</t>
  </si>
  <si>
    <t>Savings 2</t>
  </si>
  <si>
    <t>Savings 3</t>
  </si>
  <si>
    <t>Savings 4</t>
  </si>
  <si>
    <t>Savings 5</t>
  </si>
  <si>
    <t>Savings 6</t>
  </si>
  <si>
    <t>Savings 7</t>
  </si>
  <si>
    <t>Savings 8</t>
  </si>
  <si>
    <t>Savings 9</t>
  </si>
  <si>
    <t>Savings 10</t>
  </si>
  <si>
    <t>Savings 11</t>
  </si>
  <si>
    <t>Savings 12</t>
  </si>
  <si>
    <t>Savings 13</t>
  </si>
  <si>
    <t>DA To 1</t>
  </si>
  <si>
    <t>DA To 2</t>
  </si>
  <si>
    <t>Sri</t>
  </si>
  <si>
    <t>Smt.</t>
  </si>
  <si>
    <t>Kum.</t>
  </si>
  <si>
    <t>Promotion Date</t>
  </si>
  <si>
    <t>Disability %</t>
  </si>
  <si>
    <t>House Type</t>
  </si>
  <si>
    <t>YES/NO</t>
  </si>
  <si>
    <t>Previous Basic</t>
  </si>
  <si>
    <t>NotApplicable</t>
  </si>
  <si>
    <t>not S.Citizen</t>
  </si>
  <si>
    <t>Dependent Parents</t>
  </si>
  <si>
    <t>S.Citizen Parents</t>
  </si>
  <si>
    <t>Spouse</t>
  </si>
  <si>
    <t>Children</t>
  </si>
  <si>
    <t>Charitable Trust</t>
  </si>
  <si>
    <t>DDO PAN NO</t>
  </si>
  <si>
    <t>PAN No. of DDO</t>
  </si>
  <si>
    <t>CMR fund</t>
  </si>
  <si>
    <t>Ad. TAX</t>
  </si>
  <si>
    <t xml:space="preserve">  Signature of the House Owner</t>
  </si>
  <si>
    <t xml:space="preserve">   (Affix Revenue Stamp of Rs.1/-)</t>
  </si>
  <si>
    <t>NA</t>
  </si>
  <si>
    <t>Number</t>
  </si>
  <si>
    <t>SPay+ PPay</t>
  </si>
  <si>
    <t>Spl. Pay + P.Pay</t>
  </si>
  <si>
    <t>80CCD (1)B</t>
  </si>
  <si>
    <t/>
  </si>
  <si>
    <t>80DD1B</t>
  </si>
  <si>
    <t>http://www.stuapkdp.blogspot.com/</t>
  </si>
  <si>
    <t>HRA Diff.</t>
  </si>
  <si>
    <t>Total Tax Payable (18+19+20)</t>
  </si>
  <si>
    <t>MAR18</t>
  </si>
  <si>
    <t>APR18</t>
  </si>
  <si>
    <t>MAY18</t>
  </si>
  <si>
    <t>JUN18</t>
  </si>
  <si>
    <t>JUL18</t>
  </si>
  <si>
    <t>AUG18</t>
  </si>
  <si>
    <t>SEP18</t>
  </si>
  <si>
    <t>OCT18</t>
  </si>
  <si>
    <t>NOV18</t>
  </si>
  <si>
    <t>DEC18</t>
  </si>
  <si>
    <t>Adjustment</t>
  </si>
  <si>
    <t>Cash</t>
  </si>
  <si>
    <t>PRC Arrears</t>
  </si>
  <si>
    <t>Less: U/S 16 Standard Deduction</t>
  </si>
  <si>
    <t>Gross Total Income  (6+7+8+9)</t>
  </si>
  <si>
    <t>Gross Total Income  (10-11)</t>
  </si>
  <si>
    <r>
      <t>Net Taxable Income (12-13)</t>
    </r>
    <r>
      <rPr>
        <b/>
        <sz val="9"/>
        <rFont val="Book Antiqua"/>
      </rPr>
      <t xml:space="preserve"> rounded to nearest Rs.10/-</t>
    </r>
  </si>
  <si>
    <t>U/S 16 Standard Deduction</t>
  </si>
  <si>
    <t>`</t>
  </si>
  <si>
    <t>LONG TERM INFRA STURCTURE BONDS</t>
  </si>
  <si>
    <t>M.JAYAVELU</t>
  </si>
  <si>
    <t>Mandal Educational Officer</t>
  </si>
  <si>
    <t>CMRF1</t>
  </si>
  <si>
    <t>CMRF</t>
  </si>
  <si>
    <t>Cess i.e. Health &amp; Education @ 4%</t>
  </si>
  <si>
    <t>Cess @4%</t>
  </si>
  <si>
    <t>80G CMRF</t>
  </si>
  <si>
    <t>TAX PAYABLE (13+14)</t>
  </si>
  <si>
    <t>l)</t>
  </si>
  <si>
    <t>Rebate</t>
  </si>
  <si>
    <t>ANNEXURE I</t>
  </si>
  <si>
    <r>
      <t>[</t>
    </r>
    <r>
      <rPr>
        <i/>
        <sz val="10"/>
        <color indexed="8"/>
        <rFont val="Times New Roman"/>
      </rPr>
      <t>See</t>
    </r>
    <r>
      <rPr>
        <sz val="10"/>
        <color indexed="8"/>
        <rFont val="Times New Roman"/>
      </rPr>
      <t xml:space="preserve"> item 2 of Form No. 10E]  </t>
    </r>
  </si>
  <si>
    <t xml:space="preserve">ARREARS OR ADVANCE SALARY </t>
  </si>
  <si>
    <t xml:space="preserve">Total income (excluding salary received in arrears or advance)  </t>
  </si>
  <si>
    <t xml:space="preserve">Salary received in arrears or advance  </t>
  </si>
  <si>
    <t>Total income (as increased by salary received in arrears or advance) [Add item 1 and item 2]</t>
  </si>
  <si>
    <t xml:space="preserve">Tax on total income (as per item 3) </t>
  </si>
  <si>
    <t xml:space="preserve">Tax on total income (as per item 1) </t>
  </si>
  <si>
    <t>Tax on salary received in arrears or advance [Difference of item 4 and item 5]</t>
  </si>
  <si>
    <t xml:space="preserve">Tax computed in accordance with Table "A" [Brought from column 7 of Table "A"] </t>
  </si>
  <si>
    <t>Relief under section 89(1) [Indicate the difference between the amounts mentioned against items 6 and 7]</t>
  </si>
  <si>
    <t>TABLE "A"</t>
  </si>
  <si>
    <r>
      <t>[</t>
    </r>
    <r>
      <rPr>
        <i/>
        <sz val="10"/>
        <color indexed="8"/>
        <rFont val="Times New Roman"/>
      </rPr>
      <t>See</t>
    </r>
    <r>
      <rPr>
        <sz val="10"/>
        <color indexed="8"/>
        <rFont val="Times New Roman"/>
      </rPr>
      <t xml:space="preserve"> item 7 of Annexure I]  </t>
    </r>
  </si>
  <si>
    <t xml:space="preserve">Previous </t>
  </si>
  <si>
    <t xml:space="preserve">Salary recieved </t>
  </si>
  <si>
    <t xml:space="preserve">Total income (as </t>
  </si>
  <si>
    <t xml:space="preserve">Tax on </t>
  </si>
  <si>
    <t xml:space="preserve">Difference in tax </t>
  </si>
  <si>
    <t>year(s)</t>
  </si>
  <si>
    <t xml:space="preserve">income of </t>
  </si>
  <si>
    <t xml:space="preserve">in arrears or </t>
  </si>
  <si>
    <t xml:space="preserve">increased by salary </t>
  </si>
  <si>
    <t>total income</t>
  </si>
  <si>
    <t xml:space="preserve">[Amount under </t>
  </si>
  <si>
    <t xml:space="preserve">the relevant </t>
  </si>
  <si>
    <t xml:space="preserve">advance </t>
  </si>
  <si>
    <t xml:space="preserve">received in arrears or </t>
  </si>
  <si>
    <t xml:space="preserve">[as per </t>
  </si>
  <si>
    <t>column (6) minus</t>
  </si>
  <si>
    <t xml:space="preserve">previous </t>
  </si>
  <si>
    <t>relating to the</t>
  </si>
  <si>
    <t>advance) of the</t>
  </si>
  <si>
    <t>column(2)]</t>
  </si>
  <si>
    <t>column(4)]</t>
  </si>
  <si>
    <t xml:space="preserve">amount under </t>
  </si>
  <si>
    <t>year</t>
  </si>
  <si>
    <t xml:space="preserve">relevant previous </t>
  </si>
  <si>
    <t xml:space="preserve">relevant previous year </t>
  </si>
  <si>
    <t xml:space="preserve">column (5)] </t>
  </si>
  <si>
    <t xml:space="preserve">year as </t>
  </si>
  <si>
    <t xml:space="preserve">mentioned in </t>
  </si>
  <si>
    <t>mentioned</t>
  </si>
  <si>
    <t xml:space="preserve">column(1) [Add </t>
  </si>
  <si>
    <t xml:space="preserve">in column(1) </t>
  </si>
  <si>
    <t xml:space="preserve">columns (2) and (3)] </t>
  </si>
  <si>
    <t>(Rs.)</t>
  </si>
  <si>
    <r>
      <t xml:space="preserve">Note :  </t>
    </r>
    <r>
      <rPr>
        <sz val="10"/>
        <color indexed="8"/>
        <rFont val="Times New Roman"/>
      </rPr>
      <t xml:space="preserve">    In this Table, details of salary received in arrears or advance relating to different previous years </t>
    </r>
  </si>
  <si>
    <t xml:space="preserve">FORM NO. 10E </t>
  </si>
  <si>
    <r>
      <t>[</t>
    </r>
    <r>
      <rPr>
        <i/>
        <sz val="10"/>
        <color indexed="8"/>
        <rFont val="Times New Roman"/>
      </rPr>
      <t>See</t>
    </r>
    <r>
      <rPr>
        <sz val="10"/>
        <color indexed="8"/>
        <rFont val="Times New Roman"/>
      </rPr>
      <t xml:space="preserve"> rule 21AA] </t>
    </r>
  </si>
  <si>
    <t>Form for furnishing particulars of income under section 192(2A) for the year ending 31st</t>
  </si>
  <si>
    <t>March,</t>
  </si>
  <si>
    <t>for claiming relief under section 89(1) by a Government servant or an</t>
  </si>
  <si>
    <t>employee in a company, co-operative society, local authority, university, institution, association</t>
  </si>
  <si>
    <t>or body</t>
  </si>
  <si>
    <t>Name and address of the employee</t>
  </si>
  <si>
    <t>:</t>
  </si>
  <si>
    <t>Permanent account number</t>
  </si>
  <si>
    <t xml:space="preserve">Residential status </t>
  </si>
  <si>
    <t xml:space="preserve">Particulars of income referred to in rule 21A of the Income tax Rules, 1962, during the previous year relevant to assessment </t>
  </si>
  <si>
    <t xml:space="preserve">Salary received in arrears or in advance in accordance with the provisions of sub-rule (2) of rule 21A </t>
  </si>
  <si>
    <t xml:space="preserve">Payment in the nature of gratuity in respect of past services, extending over a period of not less than 5 years in accordance with the provisions of sub-rule (3) of rule 21A </t>
  </si>
  <si>
    <t xml:space="preserve">(c)    </t>
  </si>
  <si>
    <t>Payment in the nature of compensation from the employer or former employer at or in connection with termination of employment after continuous service of not less than 3 years or where the unexpired portion of term of employment is also not less than 3 years in accordance with the provisions of sub-rule (4) of rule 21A</t>
  </si>
  <si>
    <t xml:space="preserve">Detailed particulars of payments referred to above may be given in </t>
  </si>
  <si>
    <t xml:space="preserve">Annexure I, II, IIA, III or IV, as the case may be  </t>
  </si>
  <si>
    <t xml:space="preserve"> Signature of the employee  </t>
  </si>
  <si>
    <t>I,</t>
  </si>
  <si>
    <t xml:space="preserve">do hereby declare that what is stated above is true to the best </t>
  </si>
  <si>
    <t xml:space="preserve">of my knowledge and belief.   </t>
  </si>
  <si>
    <t>Verified today, the</t>
  </si>
  <si>
    <t>day of</t>
  </si>
  <si>
    <t>Place</t>
  </si>
  <si>
    <t>Date</t>
  </si>
  <si>
    <t>Signature of the employee</t>
  </si>
  <si>
    <t>M.P.P.School</t>
  </si>
  <si>
    <t>Resident</t>
  </si>
  <si>
    <t>2018-19</t>
  </si>
  <si>
    <t>2017-18</t>
  </si>
  <si>
    <t>2016-17</t>
  </si>
  <si>
    <t>2015-16</t>
  </si>
  <si>
    <t xml:space="preserve">   may be furnished. </t>
  </si>
  <si>
    <t>Year wise Arrears</t>
  </si>
  <si>
    <t>Taxable Income</t>
  </si>
  <si>
    <t>Financial Year</t>
  </si>
  <si>
    <t>Form 10E</t>
  </si>
  <si>
    <t>Not Applicable</t>
  </si>
  <si>
    <t>Slab 1</t>
  </si>
  <si>
    <t>Slab 2</t>
  </si>
  <si>
    <t>Slab 3</t>
  </si>
  <si>
    <t>Tax</t>
  </si>
  <si>
    <t>Net Tax</t>
  </si>
  <si>
    <r>
      <t xml:space="preserve">Less </t>
    </r>
    <r>
      <rPr>
        <sz val="10"/>
        <rFont val="Book Antiqua"/>
      </rPr>
      <t>Relief under section 89(1)</t>
    </r>
  </si>
  <si>
    <t>Less: Relief under section 89(1) (attach details)</t>
  </si>
  <si>
    <t xml:space="preserve">HRA </t>
  </si>
  <si>
    <t>P TAX</t>
  </si>
  <si>
    <t>CPS/PF</t>
  </si>
  <si>
    <t>Do you want to split PRC Arrears</t>
  </si>
  <si>
    <t>PRC split</t>
  </si>
  <si>
    <t>CASH</t>
  </si>
  <si>
    <t>Tax rebate U/S 87 A( Rs 12500/-upto taxable income 500000/-)</t>
  </si>
  <si>
    <t>Tax rebate U/S 87 A( Rs 12,500/-upto taxable income 500000/-)</t>
  </si>
  <si>
    <t>2019-20</t>
  </si>
  <si>
    <t>IR
@27%</t>
  </si>
  <si>
    <t>P. Pothan Prasad</t>
  </si>
  <si>
    <t>AZKABC2307</t>
  </si>
  <si>
    <t>HYDM12345</t>
  </si>
  <si>
    <t>AZK234M87</t>
  </si>
  <si>
    <t>ALWAYS USE FRESH FILE</t>
  </si>
  <si>
    <t>s</t>
  </si>
  <si>
    <t>2020-21</t>
  </si>
  <si>
    <t>MAR20</t>
  </si>
  <si>
    <t>JAN21</t>
  </si>
  <si>
    <t>FEB21</t>
  </si>
  <si>
    <t>JAN2020</t>
  </si>
  <si>
    <t>N.R.Palle</t>
  </si>
  <si>
    <t>Pengalur</t>
  </si>
  <si>
    <t>MRC, PENAGALUR</t>
  </si>
  <si>
    <t>L123456</t>
  </si>
  <si>
    <t>Net</t>
  </si>
  <si>
    <t>old HRA</t>
  </si>
  <si>
    <t>New HRA</t>
  </si>
  <si>
    <t>INCOME TAX CALCULATION FOR THE YEAR 2021-22</t>
  </si>
  <si>
    <t>March,21</t>
  </si>
  <si>
    <t>Feb,22</t>
  </si>
  <si>
    <t>2022-2023</t>
  </si>
  <si>
    <t>MAR21</t>
  </si>
  <si>
    <t>APR21</t>
  </si>
  <si>
    <t>MAY21</t>
  </si>
  <si>
    <t>JUN21</t>
  </si>
  <si>
    <t>JUL21</t>
  </si>
  <si>
    <t>AUG21</t>
  </si>
  <si>
    <t>SEP21</t>
  </si>
  <si>
    <t>OCT21</t>
  </si>
  <si>
    <t>NOV21</t>
  </si>
  <si>
    <t>DEC21</t>
  </si>
  <si>
    <t>JAN22</t>
  </si>
  <si>
    <t>FEB22</t>
  </si>
  <si>
    <t>DA Arrears</t>
  </si>
  <si>
    <t>INCOME TAX (FY 2021-22) ASSESMENT 2022-23</t>
  </si>
  <si>
    <t>New Basics</t>
  </si>
  <si>
    <t>New Incr</t>
  </si>
  <si>
    <t>AAS Arrears</t>
  </si>
  <si>
    <t>NEW BASICS</t>
  </si>
  <si>
    <t>Prom.
 Arrears</t>
  </si>
  <si>
    <t>BASIC INFORMATION</t>
  </si>
  <si>
    <r>
      <rPr>
        <sz val="10"/>
        <rFont val="Calibri"/>
      </rPr>
      <t>EMPLOYEE NAME</t>
    </r>
  </si>
  <si>
    <r>
      <rPr>
        <sz val="10"/>
        <rFont val="Calibri"/>
      </rPr>
      <t>DESIGNATION</t>
    </r>
  </si>
  <si>
    <r>
      <rPr>
        <sz val="10"/>
        <rFont val="Calibri"/>
      </rPr>
      <t>SCHOOL NAME</t>
    </r>
  </si>
  <si>
    <r>
      <rPr>
        <sz val="10"/>
        <rFont val="Calibri"/>
      </rPr>
      <t>TREAURY ID &amp; CFMS ID</t>
    </r>
  </si>
  <si>
    <r>
      <rPr>
        <sz val="10"/>
        <rFont val="Calibri"/>
      </rPr>
      <t>MANDAL NAME</t>
    </r>
  </si>
  <si>
    <r>
      <rPr>
        <sz val="10"/>
        <rFont val="Calibri"/>
      </rPr>
      <t>PAN NO</t>
    </r>
  </si>
  <si>
    <r>
      <rPr>
        <sz val="10"/>
        <rFont val="Calibri"/>
      </rPr>
      <t>DISTRICT</t>
    </r>
  </si>
  <si>
    <r>
      <rPr>
        <sz val="10"/>
        <rFont val="Calibri"/>
      </rPr>
      <t>DDO NAME</t>
    </r>
  </si>
  <si>
    <r>
      <rPr>
        <sz val="10"/>
        <rFont val="Calibri"/>
      </rPr>
      <t>DDO TAN NO</t>
    </r>
  </si>
  <si>
    <r>
      <rPr>
        <sz val="10"/>
        <rFont val="Calibri"/>
      </rPr>
      <t>DDO PAN, AND OFFICE</t>
    </r>
  </si>
  <si>
    <t>EARNINGS</t>
  </si>
  <si>
    <t>BASIC PAY March 2021 (In old PRC)</t>
  </si>
  <si>
    <r>
      <rPr>
        <sz val="10"/>
        <rFont val="Calibri"/>
      </rPr>
      <t>INCREMENT MONTH</t>
    </r>
  </si>
  <si>
    <t>Basic Pay JAN 2022 (in New PRC)</t>
  </si>
  <si>
    <t>PP/SP/ADDITIONAL</t>
  </si>
  <si>
    <t>AAS INCREMENT  Date</t>
  </si>
  <si>
    <t xml:space="preserve">PROMOTION DATE </t>
  </si>
  <si>
    <t>SURRENDER LEAVES_ Days and Month</t>
  </si>
  <si>
    <t xml:space="preserve">HALF PAY LEAVES DATE (No. of days and Month)
</t>
  </si>
  <si>
    <r>
      <rPr>
        <sz val="10"/>
        <rFont val="Calibri"/>
      </rPr>
      <t>HRA %</t>
    </r>
  </si>
  <si>
    <r>
      <rPr>
        <sz val="10"/>
        <rFont val="Calibri"/>
      </rPr>
      <t>HRA IF CHANGE MONTH</t>
    </r>
  </si>
  <si>
    <r>
      <rPr>
        <sz val="10"/>
        <rFont val="Calibri"/>
      </rPr>
      <t>HM ALLOWANES</t>
    </r>
  </si>
  <si>
    <r>
      <rPr>
        <sz val="10"/>
        <rFont val="Calibri"/>
      </rPr>
      <t>PHC ALLOWANCE</t>
    </r>
  </si>
  <si>
    <t>OTHERS</t>
  </si>
  <si>
    <t>ZPPF or CPS</t>
  </si>
  <si>
    <t>ARREARS</t>
  </si>
  <si>
    <t>SALARY DEDUCTIONS</t>
  </si>
  <si>
    <r>
      <rPr>
        <sz val="10"/>
        <rFont val="Calibri"/>
      </rPr>
      <t>PF Monthly</t>
    </r>
  </si>
  <si>
    <r>
      <rPr>
        <sz val="10"/>
        <rFont val="Calibri"/>
      </rPr>
      <t>IF PF Change Month</t>
    </r>
  </si>
  <si>
    <t>APGLI Monthly Deduction</t>
  </si>
  <si>
    <t>IF APGLI Change  Month</t>
  </si>
  <si>
    <r>
      <rPr>
        <sz val="10"/>
        <rFont val="Calibri"/>
      </rPr>
      <t>GIS Monthly</t>
    </r>
  </si>
  <si>
    <t>IF GIS Change  Month</t>
  </si>
  <si>
    <r>
      <rPr>
        <sz val="10"/>
        <rFont val="Calibri"/>
      </rPr>
      <t>EWF MARCH21</t>
    </r>
  </si>
  <si>
    <r>
      <rPr>
        <sz val="10"/>
        <rFont val="Calibri"/>
      </rPr>
      <t>SWF DEC 21</t>
    </r>
  </si>
  <si>
    <r>
      <rPr>
        <sz val="10"/>
        <rFont val="Calibri"/>
      </rPr>
      <t>EHS Monthly</t>
    </r>
  </si>
  <si>
    <r>
      <rPr>
        <sz val="10"/>
        <rFont val="Calibri"/>
      </rPr>
      <t>PT Monthly</t>
    </r>
  </si>
  <si>
    <t>SAVINGS &amp; TAX DEDUCTIONS</t>
  </si>
  <si>
    <r>
      <rPr>
        <sz val="10"/>
        <rFont val="Calibri"/>
      </rPr>
      <t>Housing Loan Principal</t>
    </r>
  </si>
  <si>
    <r>
      <rPr>
        <sz val="10"/>
        <rFont val="Calibri"/>
      </rPr>
      <t>Education loan Interst  24</t>
    </r>
  </si>
  <si>
    <r>
      <rPr>
        <sz val="10"/>
        <rFont val="Calibri"/>
      </rPr>
      <t>LIC Premium</t>
    </r>
  </si>
  <si>
    <r>
      <rPr>
        <sz val="10"/>
        <rFont val="Calibri"/>
      </rPr>
      <t>Medical Insuance  80D</t>
    </r>
  </si>
  <si>
    <t>PLI, Postal</t>
  </si>
  <si>
    <r>
      <rPr>
        <sz val="10"/>
        <rFont val="Calibri"/>
      </rPr>
      <t>Housing Loan interest 80E</t>
    </r>
  </si>
  <si>
    <r>
      <rPr>
        <sz val="10"/>
        <rFont val="Calibri"/>
      </rPr>
      <t>SBI life</t>
    </r>
  </si>
  <si>
    <r>
      <rPr>
        <sz val="10"/>
        <rFont val="Calibri"/>
      </rPr>
      <t>Disabled Percentage</t>
    </r>
  </si>
  <si>
    <r>
      <rPr>
        <sz val="10"/>
        <rFont val="Calibri"/>
      </rPr>
      <t>ELI/RPLI</t>
    </r>
  </si>
  <si>
    <r>
      <rPr>
        <sz val="10"/>
        <rFont val="Calibri"/>
      </rPr>
      <t>NPS  80CCD</t>
    </r>
  </si>
  <si>
    <r>
      <rPr>
        <sz val="10"/>
        <rFont val="Calibri"/>
      </rPr>
      <t>Fixed Deposits</t>
    </r>
  </si>
  <si>
    <r>
      <rPr>
        <sz val="10"/>
        <rFont val="Calibri"/>
      </rPr>
      <t>Any Other s</t>
    </r>
  </si>
  <si>
    <r>
      <rPr>
        <sz val="10"/>
        <rFont val="Calibri"/>
      </rPr>
      <t>Sukanya Samrudhi</t>
    </r>
  </si>
  <si>
    <r>
      <rPr>
        <sz val="10"/>
        <rFont val="Calibri"/>
      </rPr>
      <t>Any Other Savings</t>
    </r>
  </si>
  <si>
    <t>IF Rented House</t>
  </si>
  <si>
    <r>
      <rPr>
        <sz val="10"/>
        <rFont val="Calibri"/>
      </rPr>
      <t>Father  Name</t>
    </r>
  </si>
  <si>
    <r>
      <rPr>
        <sz val="10"/>
        <rFont val="Calibri"/>
      </rPr>
      <t>House No</t>
    </r>
  </si>
  <si>
    <r>
      <rPr>
        <sz val="10"/>
        <rFont val="Calibri"/>
      </rPr>
      <t>Street Name</t>
    </r>
  </si>
  <si>
    <r>
      <rPr>
        <sz val="10"/>
        <rFont val="Calibri"/>
      </rPr>
      <t>Town Name</t>
    </r>
  </si>
  <si>
    <r>
      <rPr>
        <sz val="10"/>
        <rFont val="Calibri"/>
      </rPr>
      <t>District Name</t>
    </r>
  </si>
  <si>
    <t>Advance Tax Details</t>
  </si>
  <si>
    <r>
      <rPr>
        <sz val="10"/>
        <rFont val="Calibri"/>
      </rPr>
      <t>March 21</t>
    </r>
  </si>
  <si>
    <r>
      <rPr>
        <sz val="10"/>
        <rFont val="Calibri"/>
      </rPr>
      <t>June  21</t>
    </r>
  </si>
  <si>
    <r>
      <rPr>
        <sz val="10"/>
        <rFont val="Calibri"/>
      </rPr>
      <t>Sept 21</t>
    </r>
  </si>
  <si>
    <r>
      <rPr>
        <sz val="10"/>
        <rFont val="Calibri"/>
      </rPr>
      <t>Dec  21</t>
    </r>
  </si>
  <si>
    <r>
      <rPr>
        <sz val="10"/>
        <rFont val="Calibri"/>
      </rPr>
      <t>April  21</t>
    </r>
  </si>
  <si>
    <r>
      <rPr>
        <sz val="10"/>
        <rFont val="Calibri"/>
      </rPr>
      <t>July   21</t>
    </r>
  </si>
  <si>
    <r>
      <rPr>
        <sz val="10"/>
        <rFont val="Calibri"/>
      </rPr>
      <t>Octo 21</t>
    </r>
  </si>
  <si>
    <r>
      <rPr>
        <sz val="10"/>
        <rFont val="Calibri"/>
      </rPr>
      <t>Jan  22</t>
    </r>
  </si>
  <si>
    <r>
      <rPr>
        <sz val="10"/>
        <rFont val="Calibri"/>
      </rPr>
      <t>May  21</t>
    </r>
  </si>
  <si>
    <r>
      <rPr>
        <sz val="10"/>
        <rFont val="Calibri"/>
      </rPr>
      <t>August 21</t>
    </r>
  </si>
  <si>
    <r>
      <rPr>
        <sz val="10"/>
        <rFont val="Calibri"/>
      </rPr>
      <t>Nov  21</t>
    </r>
  </si>
  <si>
    <r>
      <rPr>
        <sz val="10"/>
        <rFont val="Calibri"/>
      </rPr>
      <t>Feb  22</t>
    </r>
  </si>
  <si>
    <t>For any other doubts #</t>
  </si>
  <si>
    <t>1. Always use a fresh file</t>
  </si>
  <si>
    <t>Basic As on Jan2022 with New PRC</t>
  </si>
  <si>
    <t>Basic As on March 2021 (old PRC)</t>
  </si>
  <si>
    <t>3. Enter DA arrears and PRC arrears manually if there are any else leave blank.</t>
  </si>
  <si>
    <t>4. If values are not correct in any page you can change/edit.</t>
  </si>
  <si>
    <t>5. For any doubts contact #9492692500</t>
  </si>
  <si>
    <t>Instructions</t>
  </si>
  <si>
    <t>2. Enter basic pay in march 2021 with old PRC and add Basic pay in January 2022 
witn new PRC.</t>
  </si>
  <si>
    <t>House Owner Name</t>
  </si>
  <si>
    <r>
      <rPr>
        <sz val="16"/>
        <color rgb="FFFF0000"/>
        <rFont val="Arial Black"/>
      </rPr>
      <t>STATE TEACHERS UNION  [STU], ANDHRA PRADESH</t>
    </r>
    <r>
      <rPr>
        <u/>
        <sz val="14"/>
        <color rgb="FF006FC0"/>
        <rFont val="Arial Black"/>
      </rPr>
      <t xml:space="preserve">
</t>
    </r>
    <r>
      <rPr>
        <b/>
        <sz val="13"/>
        <rFont val="Cambria"/>
      </rPr>
      <t>DETAILS FOR PREPARATION OF INCOME TAX  2021-2022</t>
    </r>
    <r>
      <rPr>
        <b/>
        <sz val="14"/>
        <color rgb="FF6F2F9F"/>
        <rFont val="Cambria"/>
      </rPr>
      <t xml:space="preserve">
</t>
    </r>
    <r>
      <rPr>
        <b/>
        <i/>
        <u/>
        <sz val="14"/>
        <color rgb="FF6F2F9F"/>
        <rFont val="Cambria"/>
      </rPr>
      <t xml:space="preserve">
</t>
    </r>
    <r>
      <rPr>
        <b/>
        <sz val="14"/>
        <color rgb="FFFF0000"/>
        <rFont val="Georgia"/>
      </rPr>
      <t>(</t>
    </r>
    <r>
      <rPr>
        <b/>
        <u/>
        <sz val="14"/>
        <color rgb="FFFF0000"/>
        <rFont val="Georgia"/>
      </rPr>
      <t>_________________MANDAL), __________ (DIST.</t>
    </r>
    <r>
      <rPr>
        <b/>
        <sz val="14"/>
        <color rgb="FFFF0000"/>
        <rFont val="Georgia"/>
      </rPr>
      <t>)</t>
    </r>
  </si>
  <si>
    <r>
      <t>PAN Number</t>
    </r>
    <r>
      <rPr>
        <sz val="10"/>
        <rFont val="Calibri"/>
      </rPr>
      <t xml:space="preserve">
</t>
    </r>
    <r>
      <rPr>
        <sz val="8"/>
        <rFont val="Calibri"/>
      </rPr>
      <t>(If Above One Lakh per year)</t>
    </r>
  </si>
</sst>
</file>

<file path=xl/styles.xml><?xml version="1.0" encoding="utf-8"?>
<styleSheet xmlns="http://schemas.openxmlformats.org/spreadsheetml/2006/main">
  <numFmts count="21">
    <numFmt numFmtId="0" formatCode="General"/>
    <numFmt numFmtId="3" formatCode="#,##0"/>
    <numFmt numFmtId="1" formatCode="0"/>
    <numFmt numFmtId="49" formatCode="@"/>
    <numFmt numFmtId="164" formatCode="0.000"/>
    <numFmt numFmtId="165" formatCode="_(* #,##0_);_(* \(#,##0\);_(* &quot;-&quot;_);_(@_)"/>
    <numFmt numFmtId="166" formatCode="&quot;Rs.&quot;\ #,##0.00"/>
    <numFmt numFmtId="9" formatCode="0%"/>
    <numFmt numFmtId="167" formatCode="_ &quot;Rs.&quot;\ * #,##0_ ;_ &quot;Rs.&quot;\ * \-#,##0_ ;_ &quot;Rs.&quot;\ * &quot;-&quot;_ ;_ @_ "/>
    <numFmt numFmtId="16" formatCode="d-mmm"/>
    <numFmt numFmtId="168" formatCode="#,##0;[Red]#,##0"/>
    <numFmt numFmtId="169" formatCode="&quot;Rs.&quot;\ #,##0;[Red]&quot;Rs.&quot;\ \-#,##0"/>
    <numFmt numFmtId="17" formatCode="mmm-yy"/>
    <numFmt numFmtId="170" formatCode="_(* #,##0_);_(* \(#,##0\);_(* &quot;-&quot;??_);_(@_)"/>
    <numFmt numFmtId="171" formatCode="dddd"/>
    <numFmt numFmtId="14" formatCode="m/d/yyyy"/>
    <numFmt numFmtId="172" formatCode="mmm/yyyy"/>
    <numFmt numFmtId="173" formatCode="_(&quot;$&quot;* #,##0.00_);_(&quot;$&quot;* \(#,##0.00\);_(&quot;$&quot;* &quot;-&quot;??_);_(@_)"/>
    <numFmt numFmtId="174" formatCode="_-* #,##0_-;\-* #,##0_-;_-* &quot;-&quot;??_-;_-@_-"/>
    <numFmt numFmtId="175" formatCode="[$-14009]dd/mm/yyyy;@"/>
    <numFmt numFmtId="176" formatCode="[$-409]mmm\-yy;@"/>
  </numFmts>
  <fonts count="142">
    <font>
      <name val="Calibri"/>
      <sz val="11"/>
    </font>
    <font>
      <name val="Times New Roman"/>
      <sz val="10"/>
      <color rgb="FF000000"/>
    </font>
    <font>
      <name val="Times New Roman"/>
      <sz val="14"/>
      <color rgb="FF000000"/>
    </font>
    <font>
      <name val="Times New Roman"/>
      <sz val="14"/>
      <color rgb="FF000000"/>
    </font>
    <font>
      <name val="Arial Black"/>
      <sz val="10"/>
    </font>
    <font>
      <name val="Times New Roman"/>
      <b/>
      <sz val="14"/>
      <color rgb="FFFFFFFF"/>
    </font>
    <font>
      <name val="Calibri"/>
      <sz val="10"/>
    </font>
    <font>
      <name val="Times New Roman"/>
      <b/>
      <sz val="11"/>
    </font>
    <font>
      <name val="Times New Roman"/>
      <sz val="11"/>
    </font>
    <font>
      <name val="Calibri"/>
      <sz val="10"/>
      <color rgb="FF000000"/>
    </font>
    <font>
      <name val="Calibri"/>
      <sz val="11"/>
      <color rgb="FF000000"/>
    </font>
    <font>
      <name val="Calibri"/>
      <sz val="10"/>
    </font>
    <font>
      <name val="Verdana"/>
      <sz val="11"/>
      <color rgb="FF000000"/>
    </font>
    <font>
      <name val="Verdana"/>
      <b/>
      <sz val="22"/>
      <color rgb="FFFFFF00"/>
    </font>
    <font>
      <name val="Verdana"/>
      <sz val="11"/>
      <color rgb="FFFF0000"/>
    </font>
    <font>
      <name val="Verdana"/>
      <b/>
      <sz val="16"/>
      <color rgb="FFFFFFFF"/>
    </font>
    <font>
      <name val="Calibri"/>
      <b/>
      <sz val="14"/>
      <color rgb="FFFF0000"/>
    </font>
    <font>
      <name val="Verdana"/>
      <b/>
      <sz val="12"/>
      <color rgb="FFFF0000"/>
    </font>
    <font>
      <name val="Calibri"/>
      <sz val="11"/>
      <color rgb="FFFF0000"/>
    </font>
    <font>
      <name val="Verdana"/>
      <b/>
      <sz val="11"/>
      <color rgb="FF000000"/>
    </font>
    <font>
      <name val="Verdana"/>
      <b/>
      <sz val="19"/>
      <color rgb="FFFF0000"/>
    </font>
    <font>
      <name val="Verdana"/>
      <b/>
      <sz val="11"/>
      <color rgb="FF4E6127"/>
    </font>
    <font>
      <name val="Verdana"/>
      <sz val="10"/>
      <color rgb="FF000000"/>
    </font>
    <font>
      <name val="Verdana"/>
      <b/>
      <sz val="11"/>
      <color rgb="FFFFFFFF"/>
    </font>
    <font>
      <name val="Verdana"/>
      <b/>
      <sz val="11"/>
      <color rgb="FFFF0000"/>
    </font>
    <font>
      <name val="Verdana"/>
      <b/>
      <sz val="12"/>
      <color rgb="FF0000FF"/>
    </font>
    <font>
      <name val="Verdana"/>
      <b/>
      <sz val="12"/>
      <color rgb="FF000000"/>
    </font>
    <font>
      <name val="Calibri"/>
      <u/>
      <sz val="8"/>
      <color rgb="FF0000FF"/>
    </font>
    <font>
      <name val="Verdana"/>
      <b/>
      <sz val="11"/>
      <color rgb="FF0000FF"/>
    </font>
    <font>
      <name val="Verdana"/>
      <b/>
      <sz val="14"/>
      <color rgb="FFFFFFFF"/>
    </font>
    <font>
      <name val="Verdana"/>
      <b/>
      <sz val="10"/>
      <color rgb="FFFF0000"/>
    </font>
    <font>
      <name val="Verdana"/>
      <sz val="9"/>
      <color rgb="FF5181BD"/>
    </font>
    <font>
      <name val="Verdana"/>
      <sz val="11"/>
      <color rgb="FF5181BD"/>
    </font>
    <font>
      <name val="Calibri"/>
      <sz val="11"/>
      <color rgb="FF5181BD"/>
    </font>
    <font>
      <name val="Verdana"/>
      <b/>
      <sz val="16"/>
      <color rgb="FF002060"/>
    </font>
    <font>
      <name val="Verdana"/>
      <b/>
      <sz val="16"/>
      <color rgb="FF5181BD"/>
    </font>
    <font>
      <name val="Verdana"/>
      <b/>
      <sz val="11"/>
      <color rgb="FF5181BD"/>
    </font>
    <font>
      <name val="Verdana"/>
      <b/>
      <sz val="10"/>
      <color rgb="FF5181BD"/>
    </font>
    <font>
      <name val="Verdana"/>
      <sz val="11"/>
      <color rgb="FFB9CCE4"/>
    </font>
    <font>
      <name val="Verdana"/>
      <sz val="11"/>
      <color rgb="FFC6D9F0"/>
    </font>
    <font>
      <name val="Verdana"/>
      <sz val="12"/>
    </font>
    <font>
      <name val="Verdana"/>
      <sz val="11"/>
    </font>
    <font>
      <name val="Verdana"/>
      <b/>
      <sz val="14"/>
      <color rgb="FFFF0000"/>
    </font>
    <font>
      <name val="Verdana"/>
      <sz val="10"/>
      <color rgb="FFDDD9C3"/>
    </font>
    <font>
      <name val="Verdana"/>
      <sz val="11"/>
      <color rgb="FFDDD9C3"/>
    </font>
    <font>
      <name val="Verdana"/>
      <b/>
      <sz val="10"/>
      <color rgb="FF000000"/>
    </font>
    <font>
      <name val="Verdana"/>
      <b/>
      <sz val="9"/>
      <color rgb="FF000000"/>
    </font>
    <font>
      <name val="Verdana"/>
      <b/>
      <sz val="14"/>
      <color rgb="FF0F253F"/>
    </font>
    <font>
      <name val="Calibri"/>
      <b/>
      <sz val="16"/>
      <color rgb="FFFFFFFF"/>
    </font>
    <font>
      <name val="Calibri"/>
      <b/>
      <sz val="14"/>
      <color rgb="FFFFFFFF"/>
    </font>
    <font>
      <name val="Verdana"/>
      <sz val="11"/>
      <color rgb="FFFFFFFF"/>
    </font>
    <font>
      <name val="Arial"/>
      <sz val="9"/>
    </font>
    <font>
      <name val="Verdana"/>
      <b/>
      <sz val="11"/>
    </font>
    <font>
      <name val="Verdana"/>
      <sz val="9"/>
    </font>
    <font>
      <name val="Verdana"/>
      <b/>
      <i/>
      <sz val="16"/>
      <color rgb="FF1F4A7E"/>
    </font>
    <font>
      <name val="Book Antiqua"/>
      <b/>
      <sz val="11"/>
      <color rgb="FFFF0000"/>
    </font>
    <font>
      <name val="Book Antiqua"/>
      <b/>
      <sz val="10"/>
      <color rgb="FFFF0000"/>
    </font>
    <font>
      <name val="Book Antiqua"/>
      <sz val="10"/>
      <color rgb="FFFF0000"/>
    </font>
    <font>
      <name val="Book Antiqua"/>
      <sz val="9"/>
      <color rgb="FFFF0000"/>
    </font>
    <font>
      <name val="Book Antiqua"/>
      <sz val="8"/>
      <color rgb="FFFF0000"/>
    </font>
    <font>
      <name val="Verdana"/>
      <sz val="11"/>
      <color rgb="FFFFC000"/>
    </font>
    <font>
      <name val="Calibri"/>
      <sz val="11"/>
      <color rgb="FFFFC000"/>
    </font>
    <font>
      <name val="Book Antiqua"/>
      <sz val="11"/>
      <color rgb="FFFF0000"/>
    </font>
    <font>
      <name val="Book Antiqua"/>
      <b/>
      <sz val="9"/>
      <color rgb="FFFF0000"/>
    </font>
    <font>
      <name val="Book Antiqua"/>
      <b/>
      <sz val="10"/>
      <color rgb="FF000000"/>
    </font>
    <font>
      <name val="Book Antiqua"/>
      <b/>
      <sz val="12"/>
      <color indexed="8"/>
    </font>
    <font>
      <name val="Book Antiqua"/>
      <sz val="10"/>
      <color indexed="8"/>
    </font>
    <font>
      <name val="Book Antiqua"/>
      <sz val="9"/>
      <color indexed="8"/>
    </font>
    <font>
      <name val="Book Antiqua"/>
      <sz val="8"/>
      <color indexed="8"/>
    </font>
    <font>
      <name val="Book Antiqua"/>
      <sz val="10"/>
      <color rgb="FF000000"/>
    </font>
    <font>
      <name val="Book Antiqua"/>
      <sz val="10"/>
    </font>
    <font>
      <name val="Book Antiqua"/>
      <b/>
      <sz val="9"/>
      <color indexed="8"/>
    </font>
    <font>
      <name val="Book Antiqua"/>
      <b/>
      <sz val="8"/>
      <color indexed="8"/>
    </font>
    <font>
      <name val="Arial Narrow"/>
      <sz val="10"/>
      <color indexed="8"/>
    </font>
    <font>
      <name val="Book Antiqua"/>
      <sz val="9"/>
      <color rgb="FF000000"/>
    </font>
    <font>
      <name val="Book Antiqua"/>
      <b/>
      <sz val="10"/>
    </font>
    <font>
      <name val="Book Antiqua"/>
      <b/>
      <sz val="16"/>
    </font>
    <font>
      <name val="Book Antiqua"/>
      <sz val="11"/>
    </font>
    <font>
      <name val="Book Antiqua"/>
      <b/>
      <sz val="11"/>
    </font>
    <font>
      <name val="Book Antiqua"/>
      <sz val="9"/>
    </font>
    <font>
      <name val="Calibri"/>
      <sz val="9"/>
      <color rgb="FF000000"/>
    </font>
    <font>
      <name val="Book Antiqua"/>
      <b/>
      <sz val="12"/>
    </font>
    <font>
      <name val="Book Antiqua"/>
      <sz val="8"/>
    </font>
    <font>
      <name val="Book Antiqua"/>
      <b/>
      <sz val="9"/>
    </font>
    <font>
      <name val="Calibri"/>
      <sz val="11"/>
      <color rgb="FFFFFFFF"/>
    </font>
    <font>
      <name val="Tahoma"/>
      <sz val="10"/>
    </font>
    <font>
      <name val="Book Antiqua"/>
      <b/>
      <sz val="14"/>
    </font>
    <font>
      <name val="Book Antiqua"/>
      <b/>
      <sz val="18"/>
    </font>
    <font>
      <name val="Book Antiqua"/>
      <sz val="16"/>
    </font>
    <font>
      <name val="Book Antiqua"/>
      <b/>
      <sz val="11"/>
      <color rgb="FF000000"/>
    </font>
    <font>
      <name val="Book Antiqua"/>
      <b/>
      <sz val="10"/>
      <color rgb="FFFFFFFF"/>
    </font>
    <font>
      <name val="Book Antiqua"/>
      <sz val="12"/>
    </font>
    <font>
      <name val="Calibri"/>
      <b/>
      <i/>
      <sz val="10"/>
    </font>
    <font>
      <name val="Bookman Old Style"/>
      <sz val="9"/>
    </font>
    <font>
      <name val="Times New Roman"/>
      <b/>
      <sz val="14"/>
      <color indexed="8"/>
    </font>
    <font>
      <name val="Times New Roman"/>
      <sz val="10"/>
      <color indexed="8"/>
    </font>
    <font>
      <name val="Times New Roman"/>
      <b/>
      <sz val="11"/>
      <color indexed="8"/>
    </font>
    <font>
      <name val="Times New Roman"/>
      <b/>
      <sz val="10"/>
    </font>
    <font>
      <name val="Times New Roman"/>
      <sz val="10"/>
      <color rgb="FF000000"/>
    </font>
    <font>
      <name val="Times New Roman"/>
      <i/>
      <sz val="9"/>
      <color indexed="8"/>
    </font>
    <font>
      <name val="Times New Roman"/>
      <b/>
      <i/>
      <sz val="9"/>
      <color rgb="FF000000"/>
    </font>
    <font>
      <name val="Times New Roman"/>
      <b/>
      <i/>
      <u/>
      <sz val="11"/>
      <color indexed="8"/>
    </font>
    <font>
      <name val="Times New Roman"/>
      <sz val="9"/>
      <color indexed="8"/>
    </font>
    <font>
      <name val="Times New Roman"/>
      <sz val="9"/>
      <color rgb="FF000000"/>
    </font>
    <font>
      <name val="Times New Roman"/>
      <i/>
      <sz val="10"/>
      <color indexed="8"/>
    </font>
    <font>
      <name val="Times New Roman"/>
      <i/>
      <sz val="10"/>
      <color rgb="FF000000"/>
    </font>
    <font>
      <name val="Times New Roman"/>
      <b/>
      <i/>
      <sz val="10"/>
      <color indexed="8"/>
    </font>
    <font>
      <name val="Times New Roman"/>
      <b/>
      <sz val="10"/>
      <color indexed="8"/>
    </font>
    <font>
      <name val="Arial"/>
      <sz val="10"/>
    </font>
    <font>
      <name val="Times New Roman"/>
      <i/>
      <sz val="8"/>
      <color indexed="8"/>
    </font>
    <font>
      <name val="Times New Roman"/>
      <i/>
      <sz val="8"/>
    </font>
    <font>
      <name val="Times New Roman"/>
      <i/>
      <sz val="10"/>
    </font>
    <font>
      <name val="Times New Roman"/>
      <i/>
      <sz val="11"/>
      <color rgb="FF000000"/>
    </font>
    <font>
      <name val="Times New Roman"/>
      <i/>
      <sz val="9"/>
    </font>
    <font>
      <name val="Times New Roman"/>
      <i/>
      <sz val="9"/>
      <color rgb="FF000000"/>
    </font>
    <font>
      <name val="Times New Roman"/>
      <b/>
      <sz val="14"/>
    </font>
    <font>
      <name val="Times New Roman"/>
      <sz val="12"/>
    </font>
    <font>
      <name val="Arial"/>
      <sz val="12"/>
    </font>
    <font>
      <name val="Arial"/>
      <b/>
      <sz val="12"/>
      <color indexed="10"/>
    </font>
    <font>
      <name val="Arial"/>
      <b/>
      <sz val="12"/>
      <color rgb="FF002060"/>
    </font>
    <font>
      <name val="Arial"/>
      <b/>
      <sz val="11"/>
      <color rgb="FF002060"/>
    </font>
    <font>
      <name val="Arial"/>
      <i/>
      <sz val="12"/>
    </font>
    <font>
      <name val="Arial"/>
      <b/>
      <sz val="10"/>
    </font>
    <font>
      <name val="Arial"/>
      <sz val="11"/>
      <color indexed="10"/>
    </font>
    <font>
      <name val="Calibri"/>
      <sz val="11"/>
      <color rgb="FFF2F2F2"/>
    </font>
    <font>
      <name val="Arial"/>
      <sz val="10"/>
      <color rgb="FF000000"/>
    </font>
    <font>
      <name val="Calibri"/>
      <b/>
      <sz val="14"/>
      <color rgb="FF000000"/>
    </font>
    <font>
      <name val="Calibri"/>
      <b/>
      <u/>
      <sz val="11"/>
      <color rgb="FF000000"/>
    </font>
    <font>
      <name val="Book Antiqua"/>
      <b/>
      <sz val="9"/>
      <color rgb="FF000000"/>
    </font>
    <font>
      <name val="Calibri"/>
      <b/>
      <sz val="9"/>
      <color rgb="FF000000"/>
    </font>
    <font>
      <name val="Arial"/>
      <b/>
      <sz val="12"/>
      <color rgb="FF000000"/>
    </font>
    <font>
      <name val="Calibri"/>
      <b/>
      <sz val="11"/>
      <color rgb="FF000000"/>
    </font>
    <font>
      <name val="Book Antiqua"/>
      <b/>
      <sz val="8"/>
      <color rgb="FF000000"/>
    </font>
    <font>
      <name val="Calibri"/>
      <b/>
      <sz val="8"/>
      <color rgb="FF000000"/>
    </font>
    <font>
      <name val="Verdana"/>
      <b/>
      <sz val="8"/>
      <color rgb="FF000000"/>
    </font>
    <font>
      <name val="Arial"/>
      <sz val="11"/>
    </font>
    <font>
      <name val="Arial"/>
      <b/>
      <sz val="12"/>
    </font>
    <font>
      <name val="Arial"/>
      <b/>
      <i/>
      <u/>
      <sz val="11"/>
    </font>
    <font>
      <name val="Arial"/>
      <b/>
      <sz val="14"/>
    </font>
    <font>
      <name val="Arial"/>
      <b/>
      <sz val="11"/>
    </font>
    <font>
      <name val="Verdana"/>
      <sz val="11"/>
      <color rgb="FF000000"/>
    </font>
    <font>
      <name val="Calibri"/>
      <sz val="11"/>
      <color rgb="FF000000"/>
    </font>
  </fonts>
  <fills count="18">
    <fill>
      <patternFill patternType="none"/>
    </fill>
    <fill>
      <patternFill patternType="gray125"/>
    </fill>
    <fill>
      <patternFill patternType="solid">
        <fgColor rgb="FF1F4A7E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E36B09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EB4E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EB4E2"/>
        <bgColor rgb="FF000000"/>
      </patternFill>
    </fill>
  </fills>
  <borders count="1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bottom"/>
      <protection locked="0" hidden="0"/>
    </xf>
    <xf numFmtId="0" fontId="27" fillId="0" borderId="0">
      <alignment vertical="bottom"/>
      <protection locked="0" hidden="0"/>
    </xf>
    <xf numFmtId="0" fontId="141" fillId="0" borderId="0">
      <alignment vertical="bottom"/>
      <protection locked="0" hidden="0"/>
    </xf>
    <xf numFmtId="165" fontId="141" fillId="0" borderId="0">
      <alignment vertical="bottom"/>
      <protection locked="0" hidden="0"/>
    </xf>
  </cellStyleXfs>
  <cellXfs count="1136">
    <xf numFmtId="0" fontId="0" fillId="0" borderId="0" xfId="0">
      <alignment vertical="center"/>
    </xf>
    <xf numFmtId="0" fontId="1" fillId="0" borderId="0" xfId="1" applyFont="1" applyFill="1" applyBorder="1" applyAlignment="1">
      <alignment horizontal="left" vertical="top"/>
    </xf>
    <xf numFmtId="0" fontId="1" fillId="0" borderId="0" xfId="1" applyFill="1" applyBorder="1" applyAlignment="1">
      <alignment horizontal="left" vertical="top"/>
    </xf>
    <xf numFmtId="0" fontId="2" fillId="0" borderId="1" xfId="1" applyFont="1" applyFill="1" applyBorder="1" applyAlignment="1">
      <alignment horizontal="center" vertical="top" wrapText="1"/>
      <protection locked="0" hidden="0"/>
    </xf>
    <xf numFmtId="0" fontId="3" fillId="0" borderId="1" xfId="1" applyFont="1" applyFill="1" applyBorder="1" applyAlignment="1">
      <alignment horizontal="center" vertical="top" wrapText="1"/>
      <protection locked="0" hidden="0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left" vertical="top"/>
    </xf>
    <xf numFmtId="0" fontId="5" fillId="2" borderId="0" xfId="1" applyFont="1" applyFill="1" applyBorder="1" applyAlignment="1">
      <alignment horizontal="center" vertical="top"/>
    </xf>
    <xf numFmtId="0" fontId="6" fillId="0" borderId="2" xfId="1" applyFont="1" applyFill="1" applyBorder="1" applyAlignment="1">
      <alignment horizontal="left" vertical="top" wrapText="1"/>
    </xf>
    <xf numFmtId="0" fontId="6" fillId="0" borderId="4" xfId="1" applyFont="1" applyFill="1" applyBorder="1" applyAlignment="1">
      <alignment horizontal="left" vertical="top" wrapText="1"/>
    </xf>
    <xf numFmtId="0" fontId="1" fillId="0" borderId="2" xfId="1" applyFont="1" applyFill="1" applyBorder="1" applyAlignment="1">
      <alignment horizontal="left" vertical="bottom" wrapText="1"/>
    </xf>
    <xf numFmtId="0" fontId="1" fillId="0" borderId="4" xfId="1" applyFont="1" applyFill="1" applyBorder="1" applyAlignment="1">
      <alignment horizontal="left" vertical="bottom" wrapText="1"/>
    </xf>
    <xf numFmtId="0" fontId="7" fillId="3" borderId="0" xfId="1" applyFont="1" applyFill="1" applyBorder="1" applyAlignment="1">
      <alignment horizontal="left" vertical="top"/>
    </xf>
    <xf numFmtId="0" fontId="8" fillId="3" borderId="0" xfId="1" applyFont="1" applyFill="1" applyBorder="1" applyAlignment="1">
      <alignment horizontal="left" vertical="top"/>
    </xf>
    <xf numFmtId="0" fontId="7" fillId="3" borderId="0" xfId="1" applyFont="1" applyFill="1" applyBorder="1" applyAlignment="1">
      <alignment horizontal="left" vertical="top" wrapText="1"/>
    </xf>
    <xf numFmtId="0" fontId="6" fillId="0" borderId="5" xfId="1" applyFont="1" applyFill="1" applyBorder="1" applyAlignment="1">
      <alignment horizontal="left" vertical="top" wrapText="1"/>
    </xf>
    <xf numFmtId="0" fontId="6" fillId="0" borderId="6" xfId="1" applyFont="1" applyFill="1" applyBorder="1" applyAlignment="1">
      <alignment horizontal="center" vertical="top" wrapText="1"/>
    </xf>
    <xf numFmtId="0" fontId="6" fillId="0" borderId="4" xfId="1" applyFont="1" applyFill="1" applyBorder="1" applyAlignment="1">
      <alignment horizontal="center" vertical="top" wrapText="1"/>
    </xf>
    <xf numFmtId="0" fontId="1" fillId="0" borderId="2" xfId="1" applyFont="1" applyFill="1" applyBorder="1" applyAlignment="1">
      <alignment horizontal="left" vertical="bottom" wrapText="1"/>
    </xf>
    <xf numFmtId="0" fontId="1" fillId="0" borderId="4" xfId="1" applyFont="1" applyFill="1" applyBorder="1" applyAlignment="1">
      <alignment horizontal="left" vertical="bottom" wrapText="1"/>
    </xf>
    <xf numFmtId="0" fontId="9" fillId="0" borderId="2" xfId="1" applyFont="1" applyFill="1" applyBorder="1" applyAlignment="1">
      <alignment horizontal="left" vertical="top" wrapText="1"/>
    </xf>
    <xf numFmtId="0" fontId="9" fillId="0" borderId="4" xfId="1" applyFont="1" applyFill="1" applyBorder="1" applyAlignment="1">
      <alignment horizontal="left" vertical="top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1" fillId="0" borderId="4" xfId="1" applyFont="1" applyFill="1" applyBorder="1" applyAlignment="1">
      <alignment horizontal="left" vertical="center" wrapText="1"/>
    </xf>
    <xf numFmtId="0" fontId="10" fillId="3" borderId="0" xfId="0" applyFill="1" applyAlignment="1">
      <alignment vertical="bottom"/>
    </xf>
    <xf numFmtId="0" fontId="7" fillId="2" borderId="0" xfId="1" applyFont="1" applyFill="1" applyBorder="1" applyAlignment="1">
      <alignment horizontal="left" vertical="top"/>
    </xf>
    <xf numFmtId="0" fontId="6" fillId="0" borderId="2" xfId="1" applyFont="1" applyFill="1" applyBorder="1" applyAlignment="1">
      <alignment horizontal="center" vertical="top" wrapText="1"/>
    </xf>
    <xf numFmtId="0" fontId="6" fillId="0" borderId="3" xfId="1" applyFont="1" applyFill="1" applyBorder="1" applyAlignment="1">
      <alignment horizontal="center" vertical="top" wrapText="1"/>
    </xf>
    <xf numFmtId="0" fontId="6" fillId="0" borderId="7" xfId="1" applyFont="1" applyFill="1" applyBorder="1" applyAlignment="1">
      <alignment horizontal="center" vertical="top" wrapText="1"/>
    </xf>
    <xf numFmtId="0" fontId="6" fillId="0" borderId="8" xfId="1" applyFont="1" applyFill="1" applyBorder="1" applyAlignment="1">
      <alignment horizontal="center" vertical="top" wrapText="1"/>
    </xf>
    <xf numFmtId="0" fontId="6" fillId="0" borderId="9" xfId="1" applyFont="1" applyFill="1" applyBorder="1" applyAlignment="1">
      <alignment horizontal="center" vertical="top" wrapText="1"/>
    </xf>
    <xf numFmtId="0" fontId="6" fillId="0" borderId="10" xfId="1" applyFont="1" applyFill="1" applyBorder="1" applyAlignment="1">
      <alignment horizontal="center" vertical="top" wrapText="1"/>
    </xf>
    <xf numFmtId="0" fontId="6" fillId="0" borderId="3" xfId="1" applyFont="1" applyFill="1" applyBorder="1" applyAlignment="1">
      <alignment horizontal="left" vertical="top" wrapText="1"/>
    </xf>
    <xf numFmtId="0" fontId="1" fillId="0" borderId="7" xfId="1" applyFont="1" applyFill="1" applyBorder="1" applyAlignment="1">
      <alignment horizontal="center" vertical="bottom" wrapText="1"/>
    </xf>
    <xf numFmtId="0" fontId="1" fillId="0" borderId="8" xfId="1" applyFont="1" applyFill="1" applyBorder="1" applyAlignment="1">
      <alignment horizontal="center" vertical="bottom" wrapText="1"/>
    </xf>
    <xf numFmtId="0" fontId="1" fillId="0" borderId="11" xfId="1" applyFont="1" applyFill="1" applyBorder="1" applyAlignment="1">
      <alignment horizontal="center" vertical="bottom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left" vertical="top" wrapText="1"/>
    </xf>
    <xf numFmtId="0" fontId="1" fillId="0" borderId="4" xfId="1" applyFont="1" applyFill="1" applyBorder="1" applyAlignment="1">
      <alignment horizontal="left" vertical="top" wrapText="1"/>
    </xf>
    <xf numFmtId="0" fontId="6" fillId="0" borderId="13" xfId="1" applyFont="1" applyFill="1" applyBorder="1" applyAlignment="1">
      <alignment horizontal="left" vertical="top" wrapText="1"/>
    </xf>
    <xf numFmtId="0" fontId="1" fillId="0" borderId="13" xfId="1" applyFont="1" applyFill="1" applyBorder="1" applyAlignment="1">
      <alignment horizontal="left" vertical="bottom" wrapText="1"/>
    </xf>
    <xf numFmtId="0" fontId="9" fillId="0" borderId="0" xfId="1" applyFont="1" applyFill="1" applyBorder="1" applyAlignment="1">
      <alignment horizontal="left" vertical="top"/>
      <protection locked="0" hidden="0"/>
    </xf>
    <xf numFmtId="0" fontId="1" fillId="0" borderId="0" xfId="1" applyFill="1" applyBorder="1" applyAlignment="1">
      <alignment horizontal="left" vertical="top"/>
      <protection locked="0" hidden="0"/>
    </xf>
    <xf numFmtId="0" fontId="12" fillId="0" borderId="0" xfId="0" applyFont="1" applyAlignment="1">
      <alignment vertical="bottom"/>
    </xf>
    <xf numFmtId="0" fontId="12" fillId="0" borderId="0" xfId="0" applyFont="1" applyAlignment="1">
      <alignment vertical="bottom" wrapText="1"/>
    </xf>
    <xf numFmtId="0" fontId="12" fillId="4" borderId="0" xfId="0" applyFont="1" applyFill="1" applyAlignment="1">
      <alignment vertical="bottom"/>
    </xf>
    <xf numFmtId="0" fontId="13" fillId="4" borderId="0" xfId="0" applyFont="1" applyFill="1" applyAlignment="1">
      <alignment horizontal="center" vertical="bottom"/>
    </xf>
    <xf numFmtId="0" fontId="12" fillId="4" borderId="0" xfId="0" applyFont="1" applyFill="1" applyBorder="1" applyAlignment="1">
      <alignment vertical="bottom"/>
    </xf>
    <xf numFmtId="0" fontId="14" fillId="0" borderId="0" xfId="0" applyFont="1" applyAlignment="1">
      <alignment vertical="bottom"/>
    </xf>
    <xf numFmtId="0" fontId="14" fillId="0" borderId="0" xfId="0" applyFont="1" applyAlignment="1">
      <alignment vertical="bottom"/>
      <protection locked="0" hidden="0"/>
    </xf>
    <xf numFmtId="0" fontId="12" fillId="0" borderId="0" xfId="0" applyFont="1" applyAlignment="1">
      <alignment vertical="bottom"/>
    </xf>
    <xf numFmtId="0" fontId="10" fillId="4" borderId="0" xfId="0" applyFill="1" applyAlignment="1">
      <alignment vertical="bottom"/>
    </xf>
    <xf numFmtId="0" fontId="15" fillId="2" borderId="0" xfId="0" applyFont="1" applyFill="1" applyAlignment="1">
      <alignment horizontal="center" vertical="bottom"/>
    </xf>
    <xf numFmtId="0" fontId="10" fillId="2" borderId="0" xfId="0" applyFill="1" applyAlignment="1">
      <alignment vertical="bottom"/>
    </xf>
    <xf numFmtId="3" fontId="16" fillId="2" borderId="0" xfId="0" applyNumberFormat="1" applyFont="1" applyFill="1" applyAlignment="1">
      <alignment vertical="bottom"/>
    </xf>
    <xf numFmtId="0" fontId="17" fillId="5" borderId="0" xfId="0" applyFont="1" applyFill="1" applyAlignment="1">
      <alignment horizontal="center" vertical="center" wrapText="1"/>
      <protection locked="1" hidden="1"/>
    </xf>
    <xf numFmtId="0" fontId="18" fillId="0" borderId="0" xfId="0" applyFont="1" applyAlignment="1">
      <alignment vertical="bottom"/>
      <protection locked="0" hidden="0"/>
    </xf>
    <xf numFmtId="0" fontId="19" fillId="6" borderId="0" xfId="0" applyFont="1" applyFill="1" applyAlignment="1">
      <alignment vertical="bottom" wrapText="1"/>
    </xf>
    <xf numFmtId="0" fontId="19" fillId="6" borderId="0" xfId="0" applyFont="1" applyFill="1" applyAlignment="1">
      <alignment vertical="bottom"/>
    </xf>
    <xf numFmtId="0" fontId="19" fillId="7" borderId="7" xfId="0" applyFont="1" applyFill="1" applyBorder="1" applyAlignment="1">
      <alignment horizontal="left" vertical="bottom"/>
      <protection locked="0" hidden="0"/>
    </xf>
    <xf numFmtId="0" fontId="19" fillId="6" borderId="0" xfId="0" applyFont="1" applyFill="1" applyAlignment="1">
      <alignment horizontal="left" vertical="bottom" wrapText="1"/>
    </xf>
    <xf numFmtId="0" fontId="12" fillId="7" borderId="7" xfId="0" applyFont="1" applyFill="1" applyBorder="1" applyAlignment="1">
      <alignment horizontal="left" vertical="bottom"/>
      <protection locked="0" hidden="0"/>
    </xf>
    <xf numFmtId="0" fontId="20" fillId="8" borderId="0" xfId="0" applyFont="1" applyFill="1" applyAlignment="1">
      <alignment horizontal="center" vertical="center" wrapText="1"/>
    </xf>
    <xf numFmtId="0" fontId="20" fillId="8" borderId="0" xfId="0" applyFont="1" applyFill="1" applyAlignment="1">
      <alignment horizontal="center" vertical="center"/>
    </xf>
    <xf numFmtId="0" fontId="12" fillId="7" borderId="8" xfId="0" applyFont="1" applyFill="1" applyBorder="1" applyAlignment="1">
      <alignment horizontal="left" vertical="bottom"/>
      <protection locked="0" hidden="0"/>
    </xf>
    <xf numFmtId="0" fontId="12" fillId="7" borderId="14" xfId="0" applyFont="1" applyFill="1" applyBorder="1" applyAlignment="1">
      <alignment horizontal="left" vertical="bottom"/>
      <protection locked="0" hidden="0"/>
    </xf>
    <xf numFmtId="0" fontId="12" fillId="7" borderId="11" xfId="0" applyFont="1" applyFill="1" applyBorder="1" applyAlignment="1">
      <alignment horizontal="left" vertical="bottom"/>
    </xf>
    <xf numFmtId="0" fontId="12" fillId="7" borderId="7" xfId="0" applyFont="1" applyFill="1" applyBorder="1" applyAlignment="1">
      <alignment horizontal="left" vertical="bottom"/>
    </xf>
    <xf numFmtId="0" fontId="21" fillId="9" borderId="0" xfId="0" applyFont="1" applyFill="1" applyAlignment="1">
      <alignment horizontal="center" vertical="bottom"/>
    </xf>
    <xf numFmtId="0" fontId="22" fillId="0" borderId="0" xfId="0" applyFont="1" applyAlignment="1">
      <alignment horizontal="center" vertical="bottom"/>
    </xf>
    <xf numFmtId="0" fontId="23" fillId="10" borderId="0" xfId="0" applyFont="1" applyFill="1" applyAlignment="1">
      <alignment vertical="bottom"/>
    </xf>
    <xf numFmtId="0" fontId="19" fillId="0" borderId="0" xfId="0" applyFont="1" applyAlignment="1">
      <alignment horizontal="center" vertical="bottom"/>
    </xf>
    <xf numFmtId="0" fontId="12" fillId="0" borderId="0" xfId="0" applyFont="1" applyAlignment="1">
      <alignment horizontal="center" vertical="bottom"/>
    </xf>
    <xf numFmtId="0" fontId="19" fillId="7" borderId="0" xfId="0" applyFont="1" applyFill="1" applyAlignment="1">
      <alignment vertical="bottom"/>
      <protection locked="0" hidden="0"/>
    </xf>
    <xf numFmtId="0" fontId="24" fillId="0" borderId="0" xfId="0" applyFont="1" applyAlignment="1">
      <alignment horizontal="center" vertical="bottom"/>
    </xf>
    <xf numFmtId="0" fontId="24" fillId="5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left" vertical="bottom" wrapText="1"/>
    </xf>
    <xf numFmtId="0" fontId="25" fillId="11" borderId="0" xfId="2" applyFont="1" applyFill="1" applyAlignment="1">
      <alignment horizontal="center" vertical="bottom"/>
    </xf>
    <xf numFmtId="0" fontId="26" fillId="11" borderId="0" xfId="0" applyFont="1" applyFill="1" applyAlignment="1">
      <alignment horizontal="center" vertical="bottom"/>
    </xf>
    <xf numFmtId="0" fontId="12" fillId="7" borderId="8" xfId="0" applyFont="1" applyFill="1" applyBorder="1" applyAlignment="1">
      <alignment horizontal="left" vertical="bottom"/>
    </xf>
    <xf numFmtId="0" fontId="12" fillId="7" borderId="14" xfId="0" applyFont="1" applyFill="1" applyBorder="1" applyAlignment="1">
      <alignment horizontal="left" vertical="bottom"/>
    </xf>
    <xf numFmtId="0" fontId="10" fillId="7" borderId="0" xfId="0" applyFill="1" applyAlignment="1">
      <alignment vertical="bottom"/>
    </xf>
    <xf numFmtId="0" fontId="10" fillId="7" borderId="14" xfId="0" applyFill="1" applyBorder="1" applyAlignment="1">
      <alignment horizontal="center" vertical="bottom"/>
    </xf>
    <xf numFmtId="0" fontId="12" fillId="11" borderId="0" xfId="0" applyFont="1" applyFill="1" applyAlignment="1">
      <alignment vertical="bottom"/>
    </xf>
    <xf numFmtId="0" fontId="19" fillId="6" borderId="0" xfId="0" applyFont="1" applyFill="1" applyAlignment="1">
      <alignment horizontal="left" vertical="bottom"/>
    </xf>
    <xf numFmtId="1" fontId="12" fillId="7" borderId="8" xfId="0" applyNumberFormat="1" applyFont="1" applyFill="1" applyBorder="1" applyAlignment="1">
      <alignment horizontal="left" vertical="bottom"/>
      <protection locked="0" hidden="0"/>
    </xf>
    <xf numFmtId="1" fontId="12" fillId="7" borderId="14" xfId="0" applyNumberFormat="1" applyFont="1" applyFill="1" applyBorder="1" applyAlignment="1">
      <alignment horizontal="left" vertical="bottom"/>
      <protection locked="0" hidden="0"/>
    </xf>
    <xf numFmtId="1" fontId="12" fillId="7" borderId="11" xfId="0" applyNumberFormat="1" applyFont="1" applyFill="1" applyBorder="1" applyAlignment="1">
      <alignment horizontal="left" vertical="bottom"/>
      <protection locked="0" hidden="0"/>
    </xf>
    <xf numFmtId="0" fontId="12" fillId="2" borderId="0" xfId="0" applyFont="1" applyFill="1" applyAlignment="1">
      <alignment vertical="bottom"/>
    </xf>
    <xf numFmtId="0" fontId="19" fillId="6" borderId="7" xfId="0" applyFont="1" applyFill="1" applyBorder="1" applyAlignment="1">
      <alignment vertical="bottom" wrapText="1"/>
    </xf>
    <xf numFmtId="0" fontId="12" fillId="7" borderId="8" xfId="0" applyFont="1" applyFill="1" applyBorder="1" applyAlignment="1">
      <alignment horizontal="left" vertical="bottom" wrapText="1"/>
      <protection locked="0" hidden="0"/>
    </xf>
    <xf numFmtId="0" fontId="12" fillId="7" borderId="14" xfId="0" applyFont="1" applyFill="1" applyBorder="1" applyAlignment="1">
      <alignment horizontal="left" vertical="bottom" wrapText="1"/>
      <protection locked="0" hidden="0"/>
    </xf>
    <xf numFmtId="0" fontId="12" fillId="7" borderId="11" xfId="0" applyFont="1" applyFill="1" applyBorder="1" applyAlignment="1">
      <alignment horizontal="left" vertical="bottom" wrapText="1"/>
      <protection locked="0" hidden="0"/>
    </xf>
    <xf numFmtId="0" fontId="27" fillId="4" borderId="0" xfId="2" applyFill="1" applyAlignment="1">
      <alignment horizontal="center" vertical="center"/>
    </xf>
    <xf numFmtId="0" fontId="12" fillId="4" borderId="0" xfId="0" applyFont="1" applyFill="1" applyAlignment="1">
      <alignment horizontal="center" vertical="bottom"/>
    </xf>
    <xf numFmtId="0" fontId="19" fillId="4" borderId="0" xfId="0" applyFont="1" applyFill="1" applyAlignment="1">
      <alignment horizontal="center" vertical="center"/>
    </xf>
    <xf numFmtId="0" fontId="12" fillId="7" borderId="7" xfId="0" applyNumberFormat="1" applyFont="1" applyFill="1" applyBorder="1" applyAlignment="1">
      <alignment horizontal="left" vertical="bottom" wrapText="1"/>
      <protection locked="0" hidden="0"/>
    </xf>
    <xf numFmtId="0" fontId="10" fillId="11" borderId="0" xfId="0" applyFill="1" applyAlignment="1">
      <alignment vertical="bottom"/>
    </xf>
    <xf numFmtId="0" fontId="12" fillId="7" borderId="11" xfId="0" applyFont="1" applyFill="1" applyBorder="1" applyAlignment="1">
      <alignment horizontal="left" vertical="bottom"/>
      <protection locked="0" hidden="0"/>
    </xf>
    <xf numFmtId="0" fontId="19" fillId="4" borderId="0" xfId="0" applyFont="1" applyFill="1">
      <alignment vertical="center"/>
    </xf>
    <xf numFmtId="0" fontId="28" fillId="11" borderId="0" xfId="2" applyFont="1" applyFill="1" applyAlignment="1">
      <alignment horizontal="center" vertical="bottom"/>
    </xf>
    <xf numFmtId="0" fontId="19" fillId="11" borderId="0" xfId="0" applyFont="1" applyFill="1" applyAlignment="1">
      <alignment horizontal="center" vertical="bottom"/>
    </xf>
    <xf numFmtId="0" fontId="29" fillId="2" borderId="0" xfId="0" applyFont="1" applyFill="1" applyAlignment="1">
      <alignment horizontal="center" vertical="bottom"/>
    </xf>
    <xf numFmtId="0" fontId="29" fillId="2" borderId="0" xfId="0" applyFont="1" applyFill="1" applyAlignment="1">
      <alignment vertical="bottom"/>
    </xf>
    <xf numFmtId="0" fontId="29" fillId="2" borderId="0" xfId="0" applyFont="1" applyFill="1" applyAlignment="1">
      <alignment horizontal="right" vertical="bottom"/>
    </xf>
    <xf numFmtId="0" fontId="18" fillId="0" borderId="0" xfId="0" applyFont="1" applyAlignment="1">
      <alignment vertical="bottom"/>
    </xf>
    <xf numFmtId="0" fontId="12" fillId="6" borderId="0" xfId="0" applyFont="1" applyFill="1" applyAlignment="1">
      <alignment horizontal="left" vertical="bottom" wrapText="1"/>
    </xf>
    <xf numFmtId="0" fontId="12" fillId="7" borderId="7" xfId="0" applyFont="1" applyFill="1" applyBorder="1" applyAlignment="1">
      <alignment vertical="bottom"/>
    </xf>
    <xf numFmtId="0" fontId="12" fillId="7" borderId="0" xfId="0" applyFont="1" applyFill="1" applyAlignment="1">
      <alignment horizontal="center" vertical="bottom"/>
    </xf>
    <xf numFmtId="0" fontId="30" fillId="6" borderId="0" xfId="0" applyFont="1" applyFill="1" applyAlignment="1">
      <alignment horizontal="left" vertical="top" wrapText="1"/>
    </xf>
    <xf numFmtId="0" fontId="12" fillId="6" borderId="0" xfId="0" applyFont="1" applyFill="1" applyAlignment="1">
      <alignment vertical="bottom"/>
    </xf>
    <xf numFmtId="49" fontId="12" fillId="12" borderId="0" xfId="0" applyNumberFormat="1" applyFont="1" applyFill="1" applyAlignment="1">
      <alignment vertical="bottom"/>
    </xf>
    <xf numFmtId="0" fontId="12" fillId="12" borderId="0" xfId="0" applyFont="1" applyFill="1" applyAlignment="1">
      <alignment vertical="bottom"/>
    </xf>
    <xf numFmtId="164" fontId="12" fillId="12" borderId="0" xfId="0" applyNumberFormat="1" applyFont="1" applyFill="1" applyAlignment="1">
      <alignment vertical="bottom"/>
    </xf>
    <xf numFmtId="0" fontId="12" fillId="7" borderId="7" xfId="0" applyFont="1" applyFill="1" applyBorder="1" applyAlignment="1">
      <alignment vertical="bottom"/>
    </xf>
    <xf numFmtId="0" fontId="12" fillId="6" borderId="0" xfId="0" applyFont="1" applyFill="1" applyAlignment="1">
      <alignment vertical="bottom"/>
    </xf>
    <xf numFmtId="0" fontId="30" fillId="6" borderId="15" xfId="0" applyFont="1" applyFill="1" applyBorder="1" applyAlignment="1">
      <alignment horizontal="left" vertical="top" wrapText="1"/>
    </xf>
    <xf numFmtId="0" fontId="23" fillId="13" borderId="16" xfId="0" applyFont="1" applyFill="1" applyBorder="1" applyAlignment="1">
      <alignment horizontal="center" vertical="center" textRotation="90"/>
    </xf>
    <xf numFmtId="0" fontId="24" fillId="5" borderId="7" xfId="0" applyFont="1" applyFill="1" applyBorder="1" applyAlignment="1">
      <alignment vertical="bottom"/>
    </xf>
    <xf numFmtId="0" fontId="19" fillId="4" borderId="0" xfId="0" applyFont="1" applyFill="1" applyAlignment="1">
      <alignment vertical="bottom"/>
    </xf>
    <xf numFmtId="0" fontId="19" fillId="7" borderId="0" xfId="0" applyFont="1" applyFill="1" applyAlignment="1">
      <alignment vertical="bottom" wrapText="1"/>
    </xf>
    <xf numFmtId="1" fontId="12" fillId="7" borderId="7" xfId="0" applyNumberFormat="1" applyFont="1" applyFill="1" applyBorder="1" applyAlignment="1">
      <alignment horizontal="left" vertical="center"/>
      <protection locked="0" hidden="0"/>
    </xf>
    <xf numFmtId="0" fontId="12" fillId="7" borderId="7" xfId="0" applyFont="1" applyFill="1" applyBorder="1" applyAlignment="1">
      <alignment horizontal="right" vertical="bottom"/>
      <protection locked="0" hidden="0"/>
    </xf>
    <xf numFmtId="0" fontId="12" fillId="7" borderId="7" xfId="0" applyFont="1" applyFill="1" applyBorder="1" applyAlignment="1">
      <alignment vertical="bottom"/>
      <protection locked="0" hidden="0"/>
    </xf>
    <xf numFmtId="0" fontId="24" fillId="5" borderId="0" xfId="0" applyFont="1" applyFill="1" applyAlignment="1">
      <alignment horizontal="left" vertical="bottom"/>
    </xf>
    <xf numFmtId="0" fontId="12" fillId="7" borderId="7" xfId="0" applyFont="1" applyFill="1" applyBorder="1" applyAlignment="1">
      <alignment horizontal="right" vertical="bottom"/>
    </xf>
    <xf numFmtId="0" fontId="12" fillId="4" borderId="14" xfId="0" applyFont="1" applyFill="1" applyBorder="1" applyAlignment="1">
      <alignment horizontal="center" vertical="bottom"/>
    </xf>
    <xf numFmtId="0" fontId="19" fillId="6" borderId="17" xfId="0" applyFont="1" applyFill="1" applyBorder="1" applyAlignment="1">
      <alignment vertical="bottom" wrapText="1"/>
    </xf>
    <xf numFmtId="0" fontId="12" fillId="7" borderId="7" xfId="0" applyFont="1" applyFill="1" applyBorder="1" applyAlignment="1">
      <alignment horizontal="right" vertical="bottom"/>
      <protection locked="0" hidden="0"/>
    </xf>
    <xf numFmtId="0" fontId="12" fillId="7" borderId="7" xfId="0" applyFont="1" applyFill="1" applyBorder="1" applyAlignment="1">
      <alignment horizontal="right" vertical="bottom"/>
    </xf>
    <xf numFmtId="0" fontId="12" fillId="7" borderId="7" xfId="0" applyFont="1" applyFill="1" applyBorder="1" applyAlignment="1">
      <alignment vertical="bottom"/>
    </xf>
    <xf numFmtId="0" fontId="19" fillId="0" borderId="0" xfId="0" applyFont="1" applyAlignment="1">
      <alignment vertical="bottom"/>
    </xf>
    <xf numFmtId="0" fontId="12" fillId="6" borderId="7" xfId="0" applyFont="1" applyFill="1" applyBorder="1" applyAlignment="1">
      <alignment horizontal="right" vertical="bottom"/>
    </xf>
    <xf numFmtId="0" fontId="12" fillId="7" borderId="16" xfId="0" applyFont="1" applyFill="1" applyBorder="1" applyAlignment="1">
      <alignment horizontal="center" vertical="bottom"/>
    </xf>
    <xf numFmtId="0" fontId="19" fillId="6" borderId="0" xfId="0" applyFont="1" applyFill="1" applyAlignment="1">
      <alignment vertical="bottom"/>
    </xf>
    <xf numFmtId="0" fontId="19" fillId="7" borderId="0" xfId="0" applyFont="1" applyFill="1" applyAlignment="1">
      <alignment vertical="bottom"/>
    </xf>
    <xf numFmtId="0" fontId="12" fillId="7" borderId="0" xfId="0" applyFont="1" applyFill="1" applyAlignment="1">
      <alignment vertical="bottom"/>
    </xf>
    <xf numFmtId="0" fontId="19" fillId="6" borderId="0" xfId="0" applyFont="1" applyFill="1" applyAlignment="1">
      <alignment horizontal="left" vertical="bottom" wrapText="1"/>
    </xf>
    <xf numFmtId="0" fontId="31" fillId="4" borderId="0" xfId="0" applyFont="1" applyFill="1" applyBorder="1" applyAlignment="1">
      <alignment vertical="bottom" wrapText="1"/>
    </xf>
    <xf numFmtId="0" fontId="32" fillId="4" borderId="0" xfId="0" applyFont="1" applyFill="1" applyBorder="1" applyAlignment="1">
      <alignment vertical="bottom" wrapText="1"/>
    </xf>
    <xf numFmtId="0" fontId="33" fillId="4" borderId="0" xfId="0" applyFont="1" applyFill="1" applyBorder="1" applyAlignment="1">
      <alignment vertical="bottom"/>
    </xf>
    <xf numFmtId="0" fontId="12" fillId="4" borderId="0" xfId="0" applyFont="1" applyFill="1" applyBorder="1" applyAlignment="1">
      <alignment vertical="bottom"/>
    </xf>
    <xf numFmtId="0" fontId="12" fillId="4" borderId="0" xfId="0" applyFont="1" applyFill="1" applyAlignment="1">
      <alignment vertical="bottom" wrapText="1"/>
    </xf>
    <xf numFmtId="0" fontId="34" fillId="4" borderId="0" xfId="0" applyFont="1" applyFill="1" applyAlignment="1">
      <alignment horizontal="center" vertical="center"/>
    </xf>
    <xf numFmtId="0" fontId="34" fillId="4" borderId="15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bottom"/>
    </xf>
    <xf numFmtId="0" fontId="15" fillId="2" borderId="14" xfId="0" applyFont="1" applyFill="1" applyBorder="1" applyAlignment="1">
      <alignment horizontal="center" vertical="bottom"/>
    </xf>
    <xf numFmtId="0" fontId="12" fillId="2" borderId="11" xfId="0" applyFont="1" applyFill="1" applyBorder="1" applyAlignment="1">
      <alignment vertical="bottom"/>
    </xf>
    <xf numFmtId="0" fontId="29" fillId="2" borderId="8" xfId="0" applyFont="1" applyFill="1" applyBorder="1" applyAlignment="1">
      <alignment horizontal="center" vertical="bottom"/>
    </xf>
    <xf numFmtId="0" fontId="29" fillId="2" borderId="14" xfId="0" applyFont="1" applyFill="1" applyBorder="1" applyAlignment="1">
      <alignment horizontal="center" vertical="bottom"/>
    </xf>
    <xf numFmtId="0" fontId="35" fillId="4" borderId="0" xfId="0" applyFont="1" applyFill="1" applyBorder="1" applyAlignment="1">
      <alignment horizontal="center" vertical="bottom"/>
    </xf>
    <xf numFmtId="0" fontId="12" fillId="6" borderId="0" xfId="0" applyFont="1" applyFill="1" applyAlignment="1">
      <alignment horizontal="left" vertical="bottom" wrapText="1"/>
    </xf>
    <xf numFmtId="0" fontId="17" fillId="5" borderId="10" xfId="0" applyFont="1" applyFill="1" applyBorder="1" applyAlignment="1">
      <alignment horizontal="center" vertical="center" wrapText="1"/>
      <protection locked="1" hidden="1"/>
    </xf>
    <xf numFmtId="0" fontId="12" fillId="7" borderId="18" xfId="0" applyFont="1" applyFill="1" applyBorder="1" applyAlignment="1">
      <alignment vertical="bottom"/>
      <protection locked="0" hidden="0"/>
    </xf>
    <xf numFmtId="0" fontId="12" fillId="7" borderId="19" xfId="0" applyFont="1" applyFill="1" applyBorder="1" applyAlignment="1">
      <alignment vertical="bottom"/>
      <protection locked="0" hidden="0"/>
    </xf>
    <xf numFmtId="49" fontId="12" fillId="6" borderId="0" xfId="0" applyNumberFormat="1" applyFont="1" applyFill="1" applyAlignment="1">
      <alignment vertical="bottom"/>
    </xf>
    <xf numFmtId="0" fontId="12" fillId="7" borderId="18" xfId="0" applyFont="1" applyFill="1" applyBorder="1" applyAlignment="1">
      <alignment vertical="bottom"/>
      <protection locked="0" hidden="0"/>
    </xf>
    <xf numFmtId="0" fontId="36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left" vertical="center"/>
    </xf>
    <xf numFmtId="0" fontId="37" fillId="4" borderId="0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 wrapText="1"/>
      <protection locked="1" hidden="1"/>
    </xf>
    <xf numFmtId="0" fontId="12" fillId="7" borderId="8" xfId="0" applyFont="1" applyFill="1" applyBorder="1" applyAlignment="1">
      <alignment vertical="bottom"/>
      <protection locked="0" hidden="0"/>
    </xf>
    <xf numFmtId="0" fontId="12" fillId="7" borderId="11" xfId="0" applyFont="1" applyFill="1" applyBorder="1" applyAlignment="1">
      <alignment vertical="bottom"/>
      <protection locked="0" hidden="0"/>
    </xf>
    <xf numFmtId="0" fontId="12" fillId="7" borderId="8" xfId="0" applyFont="1" applyFill="1" applyBorder="1" applyAlignment="1">
      <alignment vertical="bottom"/>
      <protection locked="0" hidden="0"/>
    </xf>
    <xf numFmtId="49" fontId="32" fillId="4" borderId="0" xfId="0" applyNumberFormat="1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right" vertical="center"/>
      <protection locked="0" hidden="0"/>
    </xf>
    <xf numFmtId="0" fontId="12" fillId="6" borderId="0" xfId="0" applyFont="1" applyFill="1" applyAlignment="1">
      <alignment horizontal="left" vertical="bottom"/>
    </xf>
    <xf numFmtId="0" fontId="10" fillId="6" borderId="0" xfId="0" applyFill="1" applyAlignment="1">
      <alignment horizontal="center" vertical="bottom"/>
    </xf>
    <xf numFmtId="0" fontId="19" fillId="6" borderId="7" xfId="0" applyFont="1" applyFill="1" applyBorder="1" applyAlignment="1">
      <alignment horizontal="left" vertical="bottom" wrapText="1"/>
    </xf>
    <xf numFmtId="0" fontId="38" fillId="7" borderId="8" xfId="0" applyFont="1" applyFill="1" applyBorder="1" applyAlignment="1">
      <alignment vertical="bottom"/>
      <protection locked="0" hidden="0"/>
    </xf>
    <xf numFmtId="0" fontId="38" fillId="7" borderId="11" xfId="0" applyFont="1" applyFill="1" applyBorder="1" applyAlignment="1">
      <alignment vertical="bottom"/>
      <protection locked="0" hidden="0"/>
    </xf>
    <xf numFmtId="0" fontId="19" fillId="6" borderId="8" xfId="0" applyFont="1" applyFill="1" applyBorder="1" applyAlignment="1">
      <alignment horizontal="left" vertical="bottom" wrapText="1"/>
    </xf>
    <xf numFmtId="0" fontId="19" fillId="6" borderId="11" xfId="0" applyFont="1" applyFill="1" applyBorder="1" applyAlignment="1">
      <alignment horizontal="left" vertical="bottom" wrapText="1"/>
    </xf>
    <xf numFmtId="0" fontId="17" fillId="5" borderId="19" xfId="0" applyFont="1" applyFill="1" applyBorder="1" applyAlignment="1">
      <alignment horizontal="center" vertical="center" wrapText="1"/>
      <protection locked="1" hidden="1"/>
    </xf>
    <xf numFmtId="0" fontId="38" fillId="7" borderId="8" xfId="0" applyFont="1" applyFill="1" applyBorder="1" applyAlignment="1">
      <alignment horizontal="right" vertical="bottom"/>
    </xf>
    <xf numFmtId="0" fontId="38" fillId="7" borderId="11" xfId="0" applyFont="1" applyFill="1" applyBorder="1" applyAlignment="1">
      <alignment horizontal="right" vertical="bottom"/>
    </xf>
    <xf numFmtId="0" fontId="12" fillId="6" borderId="20" xfId="0" applyFont="1" applyFill="1" applyBorder="1" applyAlignment="1">
      <alignment vertical="bottom" wrapText="1"/>
    </xf>
    <xf numFmtId="0" fontId="19" fillId="6" borderId="20" xfId="0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/>
    </xf>
    <xf numFmtId="0" fontId="19" fillId="6" borderId="8" xfId="0" applyFont="1" applyFill="1" applyBorder="1" applyAlignment="1">
      <alignment horizontal="center" vertical="center"/>
      <protection locked="0" hidden="0"/>
    </xf>
    <xf numFmtId="0" fontId="19" fillId="6" borderId="11" xfId="0" applyFont="1" applyFill="1" applyBorder="1" applyAlignment="1">
      <alignment horizontal="center" vertical="center"/>
      <protection locked="0" hidden="0"/>
    </xf>
    <xf numFmtId="0" fontId="17" fillId="6" borderId="21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vertical="bottom"/>
      <protection locked="0" hidden="0"/>
    </xf>
    <xf numFmtId="0" fontId="19" fillId="7" borderId="8" xfId="0" applyFont="1" applyFill="1" applyBorder="1" applyAlignment="1">
      <alignment vertical="bottom"/>
      <protection locked="0" hidden="0"/>
    </xf>
    <xf numFmtId="0" fontId="39" fillId="7" borderId="11" xfId="0" applyFont="1" applyFill="1" applyBorder="1" applyAlignment="1">
      <alignment vertical="bottom"/>
    </xf>
    <xf numFmtId="0" fontId="17" fillId="6" borderId="8" xfId="0" applyFont="1" applyFill="1" applyBorder="1" applyAlignment="1">
      <alignment horizontal="center" vertical="center" wrapText="1"/>
    </xf>
    <xf numFmtId="0" fontId="40" fillId="7" borderId="7" xfId="0" applyFont="1" applyFill="1" applyBorder="1" applyAlignment="1">
      <alignment vertical="center" wrapText="1"/>
    </xf>
    <xf numFmtId="0" fontId="41" fillId="7" borderId="11" xfId="0" applyFont="1" applyFill="1" applyBorder="1" applyAlignment="1">
      <alignment vertical="bottom"/>
    </xf>
    <xf numFmtId="0" fontId="42" fillId="6" borderId="8" xfId="0" applyFont="1" applyFill="1" applyBorder="1" applyAlignment="1">
      <alignment vertical="center" wrapText="1"/>
    </xf>
    <xf numFmtId="0" fontId="42" fillId="6" borderId="14" xfId="0" applyFont="1" applyFill="1" applyBorder="1" applyAlignment="1">
      <alignment vertical="center" wrapText="1"/>
    </xf>
    <xf numFmtId="49" fontId="43" fillId="14" borderId="7" xfId="0" applyNumberFormat="1" applyFont="1" applyFill="1" applyBorder="1" applyAlignment="1">
      <alignment vertical="bottom" wrapText="1"/>
    </xf>
    <xf numFmtId="49" fontId="44" fillId="14" borderId="7" xfId="0" applyNumberFormat="1" applyFont="1" applyFill="1" applyBorder="1" applyAlignment="1">
      <alignment horizontal="left" vertical="bottom"/>
    </xf>
    <xf numFmtId="0" fontId="42" fillId="6" borderId="11" xfId="0" applyFont="1" applyFill="1" applyBorder="1" applyAlignment="1">
      <alignment vertical="center" wrapText="1"/>
    </xf>
    <xf numFmtId="0" fontId="19" fillId="6" borderId="11" xfId="0" applyFont="1" applyFill="1" applyBorder="1" applyAlignment="1">
      <alignment vertical="bottom"/>
    </xf>
    <xf numFmtId="0" fontId="45" fillId="6" borderId="7" xfId="0" applyNumberFormat="1" applyFont="1" applyFill="1" applyBorder="1" applyAlignment="1">
      <alignment vertical="bottom"/>
    </xf>
    <xf numFmtId="0" fontId="42" fillId="5" borderId="8" xfId="0" applyFont="1" applyFill="1" applyBorder="1" applyAlignment="1">
      <alignment horizontal="center" vertical="center" wrapText="1"/>
    </xf>
    <xf numFmtId="0" fontId="42" fillId="5" borderId="14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/>
      <protection locked="0" hidden="0"/>
    </xf>
    <xf numFmtId="0" fontId="12" fillId="7" borderId="11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bottom"/>
    </xf>
    <xf numFmtId="0" fontId="46" fillId="4" borderId="22" xfId="0" applyFont="1" applyFill="1" applyBorder="1" applyAlignment="1">
      <alignment horizontal="center" vertical="bottom"/>
    </xf>
    <xf numFmtId="0" fontId="26" fillId="6" borderId="7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47" fillId="4" borderId="0" xfId="0" applyFont="1" applyFill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47" fillId="4" borderId="0" xfId="0" applyFont="1" applyFill="1">
      <alignment vertical="center"/>
    </xf>
    <xf numFmtId="0" fontId="12" fillId="7" borderId="7" xfId="0" applyFont="1" applyFill="1" applyBorder="1" applyAlignment="1">
      <alignment horizontal="center" vertical="center"/>
      <protection locked="0" hidden="0"/>
    </xf>
    <xf numFmtId="0" fontId="12" fillId="7" borderId="7" xfId="0" applyFont="1" applyFill="1" applyBorder="1" applyAlignment="1">
      <alignment horizontal="center" vertical="center"/>
      <protection locked="0" hidden="0"/>
    </xf>
    <xf numFmtId="0" fontId="12" fillId="7" borderId="7" xfId="0" applyFont="1" applyFill="1" applyBorder="1" applyAlignment="1">
      <alignment horizontal="center" vertical="center"/>
    </xf>
    <xf numFmtId="0" fontId="48" fillId="2" borderId="0" xfId="0" applyFont="1" applyFill="1" applyAlignment="1">
      <alignment vertical="bottom"/>
    </xf>
    <xf numFmtId="0" fontId="49" fillId="2" borderId="0" xfId="0" applyFont="1" applyFill="1" applyAlignment="1">
      <alignment vertical="bottom"/>
    </xf>
    <xf numFmtId="0" fontId="48" fillId="2" borderId="0" xfId="0" applyFont="1" applyFill="1" applyAlignment="1">
      <alignment horizontal="center" vertical="bottom"/>
    </xf>
    <xf numFmtId="0" fontId="19" fillId="6" borderId="8" xfId="0" applyFont="1" applyFill="1" applyBorder="1" applyAlignment="1">
      <alignment horizontal="left" vertical="center" wrapText="1"/>
    </xf>
    <xf numFmtId="0" fontId="19" fillId="6" borderId="11" xfId="0" applyFont="1" applyFill="1" applyBorder="1" applyAlignment="1">
      <alignment horizontal="left" vertical="center" wrapText="1"/>
    </xf>
    <xf numFmtId="0" fontId="12" fillId="7" borderId="0" xfId="0" applyFont="1" applyFill="1" applyBorder="1" applyAlignment="1">
      <alignment vertical="bottom" shrinkToFit="1"/>
    </xf>
    <xf numFmtId="0" fontId="12" fillId="7" borderId="8" xfId="0" applyFont="1" applyFill="1" applyBorder="1" applyAlignment="1">
      <alignment horizontal="right" vertical="bottom"/>
      <protection locked="0" hidden="0"/>
    </xf>
    <xf numFmtId="0" fontId="12" fillId="7" borderId="11" xfId="0" applyFont="1" applyFill="1" applyBorder="1" applyAlignment="1">
      <alignment horizontal="right" vertical="bottom"/>
      <protection locked="0" hidden="0"/>
    </xf>
    <xf numFmtId="0" fontId="50" fillId="10" borderId="16" xfId="0" applyFont="1" applyFill="1" applyBorder="1">
      <alignment vertical="center"/>
    </xf>
    <xf numFmtId="0" fontId="50" fillId="10" borderId="0" xfId="0" applyFont="1" applyFill="1" applyBorder="1">
      <alignment vertical="center"/>
    </xf>
    <xf numFmtId="0" fontId="14" fillId="0" borderId="0" xfId="0" applyFont="1" applyAlignment="1">
      <alignment vertical="bottom"/>
    </xf>
    <xf numFmtId="0" fontId="14" fillId="4" borderId="0" xfId="0" applyFont="1" applyFill="1" applyBorder="1" applyAlignment="1">
      <alignment horizontal="center" vertical="bottom"/>
    </xf>
    <xf numFmtId="0" fontId="12" fillId="4" borderId="0" xfId="0" applyFont="1" applyFill="1" applyAlignment="1">
      <alignment vertical="bottom"/>
    </xf>
    <xf numFmtId="0" fontId="14" fillId="4" borderId="0" xfId="0" applyFont="1" applyFill="1" applyBorder="1" applyAlignment="1">
      <alignment vertical="bottom"/>
    </xf>
    <xf numFmtId="0" fontId="10" fillId="4" borderId="0" xfId="0" applyFill="1" applyAlignment="1">
      <alignment vertical="bottom"/>
    </xf>
    <xf numFmtId="0" fontId="10" fillId="6" borderId="0" xfId="0" applyFill="1" applyAlignment="1">
      <alignment vertical="bottom"/>
    </xf>
    <xf numFmtId="0" fontId="41" fillId="10" borderId="16" xfId="0" applyFont="1" applyFill="1" applyBorder="1">
      <alignment vertical="center"/>
    </xf>
    <xf numFmtId="0" fontId="41" fillId="10" borderId="0" xfId="0" applyFont="1" applyFill="1" applyBorder="1">
      <alignment vertical="center"/>
    </xf>
    <xf numFmtId="0" fontId="12" fillId="6" borderId="8" xfId="0" applyFont="1" applyFill="1" applyBorder="1" applyAlignment="1">
      <alignment horizontal="right" vertical="bottom"/>
    </xf>
    <xf numFmtId="0" fontId="12" fillId="6" borderId="11" xfId="0" applyFont="1" applyFill="1" applyBorder="1" applyAlignment="1">
      <alignment horizontal="right" vertical="bottom"/>
    </xf>
    <xf numFmtId="0" fontId="12" fillId="6" borderId="7" xfId="0" applyFont="1" applyFill="1" applyBorder="1" applyAlignment="1">
      <alignment vertical="bottom"/>
    </xf>
    <xf numFmtId="0" fontId="12" fillId="4" borderId="16" xfId="0" applyFont="1" applyFill="1" applyBorder="1" applyAlignment="1">
      <alignment horizontal="center" vertical="bottom"/>
    </xf>
    <xf numFmtId="0" fontId="12" fillId="4" borderId="0" xfId="0" applyFont="1" applyFill="1" applyAlignment="1">
      <alignment horizontal="center" vertical="bottom"/>
    </xf>
    <xf numFmtId="3" fontId="51" fillId="4" borderId="0" xfId="0" applyNumberFormat="1" applyFont="1" applyFill="1" applyBorder="1">
      <alignment vertical="center"/>
      <protection locked="1" hidden="1"/>
    </xf>
    <xf numFmtId="0" fontId="14" fillId="4" borderId="0" xfId="0" applyFont="1" applyFill="1" applyBorder="1" applyAlignment="1">
      <alignment horizontal="center" vertical="bottom"/>
      <protection locked="0" hidden="0"/>
    </xf>
    <xf numFmtId="0" fontId="12" fillId="4" borderId="0" xfId="0" applyFont="1" applyFill="1" applyAlignment="1">
      <alignment vertical="bottom"/>
      <protection locked="0" hidden="0"/>
    </xf>
    <xf numFmtId="3" fontId="52" fillId="6" borderId="8" xfId="0" applyNumberFormat="1" applyFont="1" applyFill="1" applyBorder="1" applyAlignment="1">
      <alignment horizontal="left" vertical="center" wrapText="1"/>
      <protection locked="1" hidden="1"/>
    </xf>
    <xf numFmtId="3" fontId="52" fillId="6" borderId="11" xfId="0" applyNumberFormat="1" applyFont="1" applyFill="1" applyBorder="1" applyAlignment="1">
      <alignment horizontal="left" vertical="center" wrapText="1"/>
      <protection locked="1" hidden="1"/>
    </xf>
    <xf numFmtId="3" fontId="53" fillId="6" borderId="7" xfId="0" applyNumberFormat="1" applyFont="1" applyFill="1" applyBorder="1">
      <alignment vertical="center"/>
    </xf>
    <xf numFmtId="3" fontId="41" fillId="7" borderId="8" xfId="0" applyNumberFormat="1" applyFont="1" applyFill="1" applyBorder="1" applyAlignment="1">
      <alignment horizontal="right" vertical="center"/>
      <protection locked="0" hidden="0"/>
    </xf>
    <xf numFmtId="3" fontId="41" fillId="7" borderId="11" xfId="0" applyNumberFormat="1" applyFont="1" applyFill="1" applyBorder="1" applyAlignment="1">
      <alignment horizontal="right" vertical="center"/>
      <protection locked="0" hidden="0"/>
    </xf>
    <xf numFmtId="0" fontId="12" fillId="7" borderId="14" xfId="0" applyFont="1" applyFill="1" applyBorder="1" applyAlignment="1">
      <alignment horizontal="right" vertical="bottom"/>
      <protection locked="0" hidden="0"/>
    </xf>
    <xf numFmtId="0" fontId="14" fillId="4" borderId="0" xfId="0" applyFont="1" applyFill="1" applyAlignment="1">
      <alignment vertical="bottom"/>
    </xf>
    <xf numFmtId="0" fontId="12" fillId="4" borderId="0" xfId="0" applyFont="1" applyFill="1" applyAlignment="1">
      <alignment horizontal="left" vertical="bottom" wrapText="1"/>
    </xf>
    <xf numFmtId="0" fontId="54" fillId="4" borderId="0" xfId="0" applyFont="1" applyFill="1" applyAlignment="1">
      <alignment vertical="bottom"/>
    </xf>
    <xf numFmtId="0" fontId="12" fillId="0" borderId="0" xfId="0" applyFont="1" applyFill="1" applyAlignment="1">
      <alignment vertical="bottom"/>
    </xf>
    <xf numFmtId="0" fontId="12" fillId="0" borderId="0" xfId="0" applyFont="1" applyAlignment="1">
      <alignment horizontal="left" vertical="bottom" wrapText="1"/>
    </xf>
    <xf numFmtId="0" fontId="24" fillId="2" borderId="0" xfId="0" applyFont="1" applyFill="1" applyAlignment="1">
      <alignment horizontal="center" vertical="center"/>
    </xf>
    <xf numFmtId="0" fontId="14" fillId="0" borderId="0" xfId="0" applyNumberFormat="1" applyFont="1" applyAlignment="1">
      <alignment vertical="bottom"/>
    </xf>
    <xf numFmtId="1" fontId="14" fillId="0" borderId="0" xfId="0" applyNumberFormat="1" applyFont="1" applyAlignment="1">
      <alignment vertical="bottom"/>
    </xf>
    <xf numFmtId="0" fontId="14" fillId="5" borderId="0" xfId="0" applyFont="1" applyFill="1" applyAlignment="1">
      <alignment vertical="bottom"/>
    </xf>
    <xf numFmtId="1" fontId="14" fillId="5" borderId="0" xfId="0" applyNumberFormat="1" applyFont="1" applyFill="1" applyAlignment="1">
      <alignment vertical="bottom"/>
    </xf>
    <xf numFmtId="0" fontId="55" fillId="0" borderId="0" xfId="0" applyFont="1" applyFill="1" applyBorder="1" applyAlignment="1">
      <alignment horizontal="left" vertical="bottom"/>
    </xf>
    <xf numFmtId="0" fontId="56" fillId="0" borderId="0" xfId="0" applyFont="1" applyBorder="1" applyAlignment="1">
      <alignment horizontal="center" vertical="bottom"/>
    </xf>
    <xf numFmtId="165" fontId="56" fillId="0" borderId="0" xfId="0" applyNumberFormat="1" applyFont="1" applyBorder="1" applyAlignment="1">
      <alignment vertical="bottom"/>
    </xf>
    <xf numFmtId="0" fontId="57" fillId="0" borderId="0" xfId="0" applyFont="1" applyBorder="1" applyAlignment="1">
      <alignment horizontal="center" vertical="bottom"/>
    </xf>
    <xf numFmtId="0" fontId="58" fillId="0" borderId="0" xfId="0" applyFont="1" applyBorder="1" applyAlignment="1">
      <alignment horizontal="left" vertical="bottom"/>
    </xf>
    <xf numFmtId="0" fontId="59" fillId="0" borderId="0" xfId="0" applyFont="1" applyBorder="1" applyAlignment="1">
      <alignment horizontal="right" vertical="bottom"/>
    </xf>
    <xf numFmtId="1" fontId="58" fillId="0" borderId="0" xfId="0" applyNumberFormat="1" applyFont="1" applyBorder="1" applyAlignment="1">
      <alignment horizontal="left" vertical="bottom"/>
    </xf>
    <xf numFmtId="0" fontId="58" fillId="0" borderId="0" xfId="0" applyFont="1" applyBorder="1" applyAlignment="1">
      <alignment vertical="bottom"/>
    </xf>
    <xf numFmtId="1" fontId="56" fillId="0" borderId="0" xfId="0" applyNumberFormat="1" applyFont="1" applyBorder="1">
      <alignment vertical="center"/>
    </xf>
    <xf numFmtId="1" fontId="60" fillId="0" borderId="0" xfId="0" applyNumberFormat="1" applyFont="1" applyAlignment="1">
      <alignment vertical="bottom"/>
    </xf>
    <xf numFmtId="1" fontId="32" fillId="0" borderId="0" xfId="0" applyNumberFormat="1" applyFont="1" applyAlignment="1">
      <alignment vertical="bottom"/>
    </xf>
    <xf numFmtId="0" fontId="60" fillId="0" borderId="0" xfId="0" applyFont="1" applyAlignment="1">
      <alignment vertical="bottom"/>
    </xf>
    <xf numFmtId="0" fontId="58" fillId="0" borderId="0" xfId="0" applyFont="1" applyBorder="1" applyAlignment="1">
      <alignment horizontal="left" vertical="bottom"/>
    </xf>
    <xf numFmtId="0" fontId="58" fillId="0" borderId="0" xfId="0" applyFont="1" applyBorder="1" applyAlignment="1">
      <alignment horizontal="right" vertical="bottom"/>
    </xf>
    <xf numFmtId="0" fontId="56" fillId="0" borderId="0" xfId="0" applyNumberFormat="1" applyFont="1" applyBorder="1">
      <alignment vertical="center"/>
    </xf>
    <xf numFmtId="0" fontId="61" fillId="0" borderId="0" xfId="0" applyFont="1" applyAlignment="1">
      <alignment vertical="bottom"/>
    </xf>
    <xf numFmtId="0" fontId="33" fillId="0" borderId="0" xfId="0" applyFont="1" applyAlignment="1">
      <alignment vertical="bottom"/>
    </xf>
    <xf numFmtId="0" fontId="10" fillId="0" borderId="0" xfId="0" applyAlignment="1">
      <alignment vertical="bottom"/>
    </xf>
    <xf numFmtId="0" fontId="32" fillId="0" borderId="0" xfId="0" applyFont="1" applyAlignment="1">
      <alignment vertical="bottom"/>
    </xf>
    <xf numFmtId="0" fontId="57" fillId="0" borderId="0" xfId="0" applyFont="1" applyFill="1" applyBorder="1" applyAlignment="1">
      <alignment horizontal="center" vertical="bottom"/>
    </xf>
    <xf numFmtId="0" fontId="18" fillId="0" borderId="0" xfId="0" applyFont="1" applyBorder="1" applyAlignment="1">
      <alignment horizontal="center" vertical="bottom"/>
    </xf>
    <xf numFmtId="0" fontId="55" fillId="0" borderId="0" xfId="0" applyFont="1" applyBorder="1" applyAlignment="1">
      <alignment horizontal="left" vertical="bottom"/>
    </xf>
    <xf numFmtId="0" fontId="55" fillId="0" borderId="0" xfId="0" applyFont="1" applyBorder="1" applyAlignment="1">
      <alignment horizontal="left" vertical="bottom"/>
    </xf>
    <xf numFmtId="0" fontId="62" fillId="0" borderId="0" xfId="0" applyFont="1" applyBorder="1" applyAlignment="1">
      <alignment vertical="bottom"/>
    </xf>
    <xf numFmtId="165" fontId="63" fillId="0" borderId="0" xfId="0" applyNumberFormat="1" applyFont="1" applyBorder="1" applyAlignment="1">
      <alignment vertical="bottom"/>
    </xf>
    <xf numFmtId="165" fontId="55" fillId="0" borderId="0" xfId="0" applyNumberFormat="1" applyFont="1" applyBorder="1" applyAlignment="1">
      <alignment vertical="bottom"/>
    </xf>
    <xf numFmtId="0" fontId="14" fillId="0" borderId="0" xfId="0" applyFont="1" applyAlignment="1">
      <alignment horizontal="left" vertical="bottom"/>
    </xf>
    <xf numFmtId="0" fontId="14" fillId="0" borderId="0" xfId="0" applyFont="1" applyBorder="1" applyAlignment="1">
      <alignment vertical="bottom"/>
    </xf>
    <xf numFmtId="1" fontId="14" fillId="0" borderId="0" xfId="0" applyNumberFormat="1" applyFont="1" applyBorder="1" applyAlignment="1">
      <alignment vertical="bottom"/>
    </xf>
    <xf numFmtId="0" fontId="10" fillId="0" borderId="0" xfId="0" applyFont="1" applyBorder="1" applyAlignment="1">
      <alignment horizontal="center" vertical="bottom" wrapText="1"/>
    </xf>
    <xf numFmtId="0" fontId="10" fillId="0" borderId="0" xfId="0" applyFont="1" applyBorder="1" applyAlignment="1">
      <alignment horizontal="center" vertical="bottom"/>
    </xf>
    <xf numFmtId="0" fontId="12" fillId="0" borderId="0" xfId="0" applyFont="1" applyFill="1" applyBorder="1" applyAlignment="1">
      <alignment vertical="bottom"/>
    </xf>
    <xf numFmtId="0" fontId="12" fillId="0" borderId="0" xfId="0" applyFont="1" applyFill="1" applyBorder="1" applyAlignment="1">
      <alignment horizontal="center" vertical="bottom"/>
    </xf>
    <xf numFmtId="0" fontId="12" fillId="0" borderId="0" xfId="0" applyFont="1" applyFill="1" applyAlignment="1">
      <alignment vertical="bottom"/>
    </xf>
    <xf numFmtId="166" fontId="22" fillId="0" borderId="0" xfId="0" applyNumberFormat="1" applyFont="1" applyAlignment="1">
      <alignment vertical="bottom"/>
    </xf>
    <xf numFmtId="1" fontId="12" fillId="0" borderId="0" xfId="0" applyNumberFormat="1" applyFont="1" applyAlignment="1">
      <alignment vertical="bottom"/>
    </xf>
    <xf numFmtId="0" fontId="12" fillId="0" borderId="0" xfId="0" applyFont="1" applyBorder="1" applyAlignment="1">
      <alignment vertical="bottom"/>
    </xf>
    <xf numFmtId="0" fontId="64" fillId="0" borderId="0" xfId="3" applyFont="1" applyFill="1" applyBorder="1" applyAlignment="1">
      <alignment horizontal="left" vertical="center"/>
    </xf>
    <xf numFmtId="0" fontId="64" fillId="0" borderId="0" xfId="3" applyFont="1" applyFill="1" applyBorder="1" applyAlignment="1">
      <alignment horizontal="center" vertical="center"/>
    </xf>
    <xf numFmtId="0" fontId="64" fillId="0" borderId="0" xfId="3" applyFont="1" applyFill="1" applyBorder="1">
      <alignment vertical="center"/>
    </xf>
    <xf numFmtId="9" fontId="64" fillId="0" borderId="0" xfId="3" applyNumberFormat="1" applyFont="1" applyFill="1" applyBorder="1" applyAlignment="1">
      <alignment horizontal="left" vertical="bottom"/>
    </xf>
    <xf numFmtId="167" fontId="64" fillId="0" borderId="0" xfId="4" applyNumberFormat="1" applyFont="1" applyFill="1" applyBorder="1" applyAlignment="1">
      <alignment vertical="bottom"/>
    </xf>
    <xf numFmtId="1" fontId="12" fillId="0" borderId="0" xfId="0" applyNumberFormat="1" applyFont="1" applyAlignment="1">
      <alignment vertical="bottom" wrapText="1"/>
    </xf>
    <xf numFmtId="0" fontId="10" fillId="0" borderId="0" xfId="0" applyFont="1" applyFill="1" applyBorder="1" applyAlignment="1">
      <alignment horizontal="center" vertical="bottom"/>
    </xf>
    <xf numFmtId="0" fontId="64" fillId="0" borderId="0" xfId="3" applyFont="1" applyFill="1" applyBorder="1" applyAlignment="1">
      <alignment vertical="bottom"/>
    </xf>
    <xf numFmtId="0" fontId="10" fillId="8" borderId="0" xfId="0" applyFont="1" applyFill="1" applyBorder="1" applyAlignment="1">
      <alignment horizontal="center" vertical="bottom"/>
    </xf>
    <xf numFmtId="0" fontId="29" fillId="2" borderId="0" xfId="0" applyFont="1" applyFill="1" applyAlignment="1">
      <alignment horizontal="center" vertical="center"/>
    </xf>
    <xf numFmtId="49" fontId="12" fillId="0" borderId="0" xfId="0" applyNumberFormat="1" applyFont="1" applyAlignment="1">
      <alignment vertical="bottom"/>
    </xf>
    <xf numFmtId="164" fontId="12" fillId="0" borderId="0" xfId="0" applyNumberFormat="1" applyFont="1" applyAlignment="1">
      <alignment vertical="bottom"/>
    </xf>
    <xf numFmtId="164" fontId="22" fillId="0" borderId="0" xfId="0" applyNumberFormat="1" applyFont="1" applyAlignment="1">
      <alignment vertical="bottom"/>
    </xf>
    <xf numFmtId="16" fontId="12" fillId="0" borderId="0" xfId="0" applyNumberFormat="1" applyFont="1" applyAlignment="1">
      <alignment vertical="bottom"/>
    </xf>
    <xf numFmtId="0" fontId="65" fillId="0" borderId="0" xfId="0" applyFont="1" applyAlignment="1">
      <alignment horizontal="center" vertical="center" shrinkToFit="1"/>
      <protection locked="1" hidden="1"/>
    </xf>
    <xf numFmtId="0" fontId="10" fillId="0" borderId="0" xfId="0" applyAlignment="1">
      <alignment vertical="bottom"/>
      <protection locked="1" hidden="1"/>
    </xf>
    <xf numFmtId="0" fontId="66" fillId="0" borderId="7" xfId="0" applyFont="1" applyBorder="1" applyAlignment="1">
      <alignment horizontal="center" vertical="center" wrapText="1"/>
      <protection locked="1" hidden="1"/>
    </xf>
    <xf numFmtId="0" fontId="67" fillId="0" borderId="7" xfId="0" applyFont="1" applyBorder="1" applyAlignment="1">
      <alignment horizontal="center" vertical="center" wrapText="1"/>
      <protection locked="1" hidden="1"/>
    </xf>
    <xf numFmtId="0" fontId="68" fillId="0" borderId="7" xfId="0" applyFont="1" applyBorder="1" applyAlignment="1">
      <alignment horizontal="center" vertical="center" wrapText="1"/>
      <protection locked="1" hidden="1"/>
    </xf>
    <xf numFmtId="0" fontId="66" fillId="0" borderId="7" xfId="0" applyFont="1" applyFill="1" applyBorder="1" applyAlignment="1">
      <alignment horizontal="center" vertical="center" wrapText="1"/>
      <protection locked="1" hidden="1"/>
    </xf>
    <xf numFmtId="0" fontId="68" fillId="0" borderId="7" xfId="0" applyFont="1" applyFill="1" applyBorder="1" applyAlignment="1">
      <alignment horizontal="center" vertical="center" wrapText="1"/>
      <protection locked="1" hidden="1"/>
    </xf>
    <xf numFmtId="0" fontId="66" fillId="0" borderId="7" xfId="0" applyFont="1" applyBorder="1" applyAlignment="1">
      <alignment horizontal="center" vertical="center"/>
      <protection locked="1" hidden="1"/>
    </xf>
    <xf numFmtId="49" fontId="69" fillId="0" borderId="7" xfId="0" applyNumberFormat="1" applyFont="1" applyFill="1" applyBorder="1" applyAlignment="1">
      <alignment vertical="bottom"/>
    </xf>
    <xf numFmtId="1" fontId="66" fillId="0" borderId="7" xfId="0" applyNumberFormat="1" applyFont="1" applyBorder="1" applyAlignment="1">
      <alignment horizontal="center" vertical="center"/>
      <protection locked="1" hidden="1"/>
    </xf>
    <xf numFmtId="0" fontId="70" fillId="0" borderId="7" xfId="0" applyFont="1" applyBorder="1" applyAlignment="1">
      <alignment horizontal="center" vertical="center"/>
      <protection locked="1" hidden="1"/>
    </xf>
    <xf numFmtId="1" fontId="10" fillId="0" borderId="7" xfId="0" applyNumberFormat="1" applyBorder="1" applyAlignment="1">
      <alignment horizontal="center" vertical="bottom"/>
      <protection locked="1" hidden="1"/>
    </xf>
    <xf numFmtId="164" fontId="10" fillId="0" borderId="7" xfId="0" applyNumberFormat="1" applyBorder="1" applyAlignment="1">
      <alignment horizontal="center" vertical="bottom"/>
      <protection locked="1" hidden="1"/>
    </xf>
    <xf numFmtId="0" fontId="10" fillId="0" borderId="7" xfId="0" applyBorder="1" applyAlignment="1">
      <alignment horizontal="center" vertical="bottom"/>
      <protection locked="1" hidden="1"/>
    </xf>
    <xf numFmtId="0" fontId="70" fillId="0" borderId="7" xfId="0" applyFont="1" applyBorder="1" applyAlignment="1">
      <alignment horizontal="center" vertical="center"/>
      <protection locked="1" hidden="1"/>
    </xf>
    <xf numFmtId="0" fontId="71" fillId="0" borderId="7" xfId="0" applyFont="1" applyBorder="1" applyAlignment="1">
      <alignment horizontal="center" vertical="center" wrapText="1" shrinkToFit="1"/>
      <protection locked="1" hidden="1"/>
    </xf>
    <xf numFmtId="0" fontId="10" fillId="0" borderId="0" xfId="0" applyAlignment="1">
      <alignment horizontal="center" vertical="bottom"/>
      <protection locked="1" hidden="1"/>
    </xf>
    <xf numFmtId="0" fontId="67" fillId="0" borderId="8" xfId="0" applyFont="1" applyBorder="1" applyAlignment="1">
      <alignment horizontal="center" vertical="center" wrapText="1" shrinkToFit="1"/>
      <protection locked="1" hidden="1"/>
    </xf>
    <xf numFmtId="0" fontId="10" fillId="0" borderId="7" xfId="0" applyBorder="1" applyAlignment="1">
      <alignment horizontal="center" vertical="center"/>
      <protection locked="1" hidden="1"/>
    </xf>
    <xf numFmtId="0" fontId="72" fillId="0" borderId="8" xfId="0" applyFont="1" applyBorder="1" applyAlignment="1">
      <alignment horizontal="center" vertical="center" wrapText="1" shrinkToFit="1"/>
      <protection locked="1" hidden="1"/>
    </xf>
    <xf numFmtId="0" fontId="73" fillId="0" borderId="7" xfId="0" applyFont="1" applyBorder="1" applyAlignment="1">
      <alignment horizontal="center" vertical="center" wrapText="1"/>
      <protection locked="1" hidden="1"/>
    </xf>
    <xf numFmtId="1" fontId="66" fillId="0" borderId="7" xfId="0" applyNumberFormat="1" applyFont="1" applyFill="1" applyBorder="1" applyAlignment="1">
      <alignment horizontal="center" vertical="center"/>
      <protection locked="1" hidden="1"/>
    </xf>
    <xf numFmtId="1" fontId="10" fillId="0" borderId="7" xfId="0" applyNumberFormat="1" applyBorder="1" applyAlignment="1">
      <alignment horizontal="center" vertical="center"/>
      <protection locked="1" hidden="1"/>
    </xf>
    <xf numFmtId="0" fontId="74" fillId="0" borderId="0" xfId="0" applyFont="1" applyAlignment="1">
      <alignment horizontal="center" vertical="bottom"/>
    </xf>
    <xf numFmtId="0" fontId="66" fillId="0" borderId="8" xfId="0" applyFont="1" applyBorder="1" applyAlignment="1">
      <alignment horizontal="center" vertical="center" wrapText="1" shrinkToFit="1"/>
      <protection locked="1" hidden="1"/>
    </xf>
    <xf numFmtId="0" fontId="66" fillId="0" borderId="8" xfId="0" applyFont="1" applyBorder="1" applyAlignment="1">
      <alignment horizontal="center" vertical="center"/>
      <protection locked="1" hidden="1"/>
    </xf>
    <xf numFmtId="0" fontId="66" fillId="0" borderId="11" xfId="0" applyFont="1" applyBorder="1" applyAlignment="1">
      <alignment horizontal="center" vertical="center"/>
      <protection locked="1" hidden="1"/>
    </xf>
    <xf numFmtId="0" fontId="66" fillId="0" borderId="7" xfId="0" applyNumberFormat="1" applyFont="1" applyBorder="1" applyAlignment="1">
      <alignment horizontal="center" vertical="center" shrinkToFit="1"/>
      <protection locked="1" hidden="1"/>
    </xf>
    <xf numFmtId="0" fontId="10" fillId="0" borderId="7" xfId="0" applyNumberFormat="1" applyBorder="1" applyAlignment="1">
      <alignment horizontal="center" vertical="bottom" shrinkToFit="1"/>
      <protection locked="1" hidden="1"/>
    </xf>
    <xf numFmtId="0" fontId="66" fillId="0" borderId="23" xfId="0" applyFont="1" applyBorder="1">
      <alignment vertical="center"/>
      <protection locked="1" hidden="1"/>
    </xf>
    <xf numFmtId="0" fontId="66" fillId="0" borderId="23" xfId="0" applyFont="1" applyBorder="1" applyAlignment="1">
      <alignment horizontal="center" vertical="center"/>
      <protection locked="1" hidden="1"/>
    </xf>
    <xf numFmtId="0" fontId="66" fillId="0" borderId="23" xfId="0" applyFont="1" applyBorder="1" applyAlignment="1">
      <alignment horizontal="center" vertical="center"/>
      <protection locked="1" hidden="1"/>
    </xf>
    <xf numFmtId="0" fontId="19" fillId="0" borderId="0" xfId="0" applyFont="1" applyAlignment="1">
      <alignment vertical="bottom"/>
      <protection locked="1" hidden="1"/>
    </xf>
    <xf numFmtId="0" fontId="66" fillId="0" borderId="0" xfId="0" applyFont="1" applyAlignment="1">
      <alignment horizontal="center" vertical="center"/>
      <protection locked="1" hidden="1"/>
    </xf>
    <xf numFmtId="0" fontId="75" fillId="0" borderId="24" xfId="0" applyFont="1" applyBorder="1" applyAlignment="1">
      <alignment horizontal="center" vertical="bottom"/>
      <protection locked="1" hidden="1"/>
    </xf>
    <xf numFmtId="0" fontId="75" fillId="0" borderId="25" xfId="0" applyFont="1" applyBorder="1" applyAlignment="1">
      <alignment horizontal="center" vertical="bottom"/>
      <protection locked="1" hidden="1"/>
    </xf>
    <xf numFmtId="0" fontId="75" fillId="0" borderId="26" xfId="0" applyFont="1" applyBorder="1" applyAlignment="1">
      <alignment horizontal="center" vertical="bottom"/>
      <protection locked="1" hidden="1"/>
    </xf>
    <xf numFmtId="0" fontId="76" fillId="0" borderId="27" xfId="0" applyFont="1" applyBorder="1" applyAlignment="1">
      <alignment horizontal="center" vertical="center"/>
      <protection locked="1" hidden="1"/>
    </xf>
    <xf numFmtId="0" fontId="76" fillId="0" borderId="15" xfId="0" applyFont="1" applyBorder="1" applyAlignment="1">
      <alignment horizontal="center" vertical="center"/>
      <protection locked="1" hidden="1"/>
    </xf>
    <xf numFmtId="0" fontId="76" fillId="0" borderId="0" xfId="0" applyFont="1" applyBorder="1" applyAlignment="1">
      <alignment horizontal="center" vertical="center"/>
      <protection locked="1" hidden="1"/>
    </xf>
    <xf numFmtId="0" fontId="76" fillId="0" borderId="28" xfId="0" applyFont="1" applyBorder="1" applyAlignment="1">
      <alignment horizontal="center" vertical="center"/>
      <protection locked="1" hidden="1"/>
    </xf>
    <xf numFmtId="0" fontId="77" fillId="0" borderId="29" xfId="0" applyFont="1" applyBorder="1">
      <alignment vertical="center"/>
      <protection locked="1" hidden="1"/>
    </xf>
    <xf numFmtId="0" fontId="77" fillId="0" borderId="22" xfId="0" applyFont="1" applyBorder="1">
      <alignment vertical="center"/>
      <protection locked="1" hidden="1"/>
    </xf>
    <xf numFmtId="0" fontId="75" fillId="0" borderId="22" xfId="0" applyFont="1" applyBorder="1" applyAlignment="1">
      <alignment horizontal="left" vertical="center"/>
      <protection locked="1" hidden="1"/>
    </xf>
    <xf numFmtId="0" fontId="75" fillId="0" borderId="22" xfId="0" applyFont="1" applyBorder="1">
      <alignment vertical="center"/>
      <protection locked="1" hidden="1"/>
    </xf>
    <xf numFmtId="0" fontId="75" fillId="0" borderId="22" xfId="0" applyFont="1" applyBorder="1" applyAlignment="1">
      <alignment horizontal="center" vertical="center" shrinkToFit="1"/>
      <protection locked="1" hidden="1"/>
    </xf>
    <xf numFmtId="0" fontId="75" fillId="0" borderId="22" xfId="0" applyFont="1" applyBorder="1" applyAlignment="1">
      <alignment vertical="center" shrinkToFit="1"/>
      <protection locked="1" hidden="1"/>
    </xf>
    <xf numFmtId="0" fontId="75" fillId="0" borderId="22" xfId="0" applyFont="1" applyBorder="1" applyAlignment="1">
      <alignment horizontal="left" vertical="center" shrinkToFit="1"/>
      <protection locked="1" hidden="1"/>
    </xf>
    <xf numFmtId="0" fontId="75" fillId="0" borderId="30" xfId="0" applyFont="1" applyBorder="1" applyAlignment="1">
      <alignment horizontal="left" vertical="center" shrinkToFit="1"/>
      <protection locked="1" hidden="1"/>
    </xf>
    <xf numFmtId="0" fontId="70" fillId="0" borderId="27" xfId="0" applyFont="1" applyBorder="1" applyAlignment="1">
      <alignment horizontal="left" vertical="center"/>
      <protection locked="1" hidden="1"/>
    </xf>
    <xf numFmtId="0" fontId="70" fillId="0" borderId="15" xfId="0" applyFont="1" applyBorder="1" applyAlignment="1">
      <alignment horizontal="left" vertical="center"/>
      <protection locked="1" hidden="1"/>
    </xf>
    <xf numFmtId="0" fontId="75" fillId="0" borderId="15" xfId="0" applyFont="1" applyBorder="1" applyAlignment="1">
      <alignment horizontal="left" vertical="center" wrapText="1"/>
      <protection locked="1" hidden="1"/>
    </xf>
    <xf numFmtId="0" fontId="75" fillId="0" borderId="15" xfId="0" applyFont="1" applyBorder="1" applyAlignment="1">
      <alignment vertical="center" wrapText="1"/>
      <protection locked="1" hidden="1"/>
    </xf>
    <xf numFmtId="0" fontId="75" fillId="0" borderId="15" xfId="0" applyFont="1" applyBorder="1" applyAlignment="1">
      <alignment horizontal="center" vertical="center" wrapText="1"/>
      <protection locked="1" hidden="1"/>
    </xf>
    <xf numFmtId="0" fontId="75" fillId="0" borderId="15" xfId="0" applyFont="1" applyBorder="1" applyAlignment="1">
      <alignment horizontal="left" vertical="center"/>
      <protection locked="1" hidden="1"/>
    </xf>
    <xf numFmtId="0" fontId="75" fillId="0" borderId="15" xfId="0" applyFont="1" applyBorder="1" applyAlignment="1">
      <alignment horizontal="left" vertical="center" shrinkToFit="1"/>
      <protection locked="1" hidden="1"/>
    </xf>
    <xf numFmtId="0" fontId="75" fillId="0" borderId="28" xfId="0" applyFont="1" applyBorder="1" applyAlignment="1">
      <alignment horizontal="left" vertical="center" shrinkToFit="1"/>
      <protection locked="1" hidden="1"/>
    </xf>
    <xf numFmtId="0" fontId="78" fillId="0" borderId="31" xfId="0" applyFont="1" applyBorder="1" applyAlignment="1">
      <alignment horizontal="center" vertical="bottom"/>
      <protection locked="1" hidden="1"/>
    </xf>
    <xf numFmtId="0" fontId="75" fillId="0" borderId="32" xfId="0" applyFont="1" applyBorder="1">
      <alignment vertical="center"/>
      <protection locked="1" hidden="1"/>
    </xf>
    <xf numFmtId="0" fontId="75" fillId="0" borderId="33" xfId="0" applyFont="1" applyBorder="1">
      <alignment vertical="center"/>
      <protection locked="1" hidden="1"/>
    </xf>
    <xf numFmtId="0" fontId="75" fillId="0" borderId="33" xfId="0" applyFont="1" applyBorder="1" applyAlignment="1">
      <alignment horizontal="center" vertical="center"/>
      <protection locked="1" hidden="1"/>
    </xf>
    <xf numFmtId="0" fontId="75" fillId="0" borderId="33" xfId="0" applyFont="1" applyBorder="1" applyAlignment="1">
      <alignment horizontal="right" vertical="center"/>
      <protection locked="1" hidden="1"/>
    </xf>
    <xf numFmtId="0" fontId="79" fillId="0" borderId="33" xfId="0" applyFont="1" applyBorder="1" applyAlignment="1">
      <alignment vertical="bottom"/>
      <protection locked="1" hidden="1"/>
    </xf>
    <xf numFmtId="0" fontId="78" fillId="0" borderId="33" xfId="0" applyFont="1" applyBorder="1" applyAlignment="1">
      <alignment horizontal="left" vertical="center"/>
      <protection locked="1" hidden="1"/>
    </xf>
    <xf numFmtId="0" fontId="78" fillId="0" borderId="34" xfId="0" applyFont="1" applyBorder="1" applyAlignment="1">
      <alignment horizontal="left" vertical="center"/>
      <protection locked="1" hidden="1"/>
    </xf>
    <xf numFmtId="0" fontId="78" fillId="0" borderId="16" xfId="0" applyFont="1" applyBorder="1" applyAlignment="1">
      <alignment horizontal="left" vertical="bottom"/>
      <protection locked="1" hidden="1"/>
    </xf>
    <xf numFmtId="0" fontId="78" fillId="0" borderId="0" xfId="0" applyFont="1" applyBorder="1" applyAlignment="1">
      <alignment horizontal="left" vertical="bottom"/>
      <protection locked="1" hidden="1"/>
    </xf>
    <xf numFmtId="0" fontId="75" fillId="0" borderId="35" xfId="0" applyFont="1" applyBorder="1" applyAlignment="1">
      <alignment horizontal="center" vertical="bottom"/>
      <protection locked="1" hidden="1"/>
    </xf>
    <xf numFmtId="0" fontId="75" fillId="0" borderId="36" xfId="0" applyFont="1" applyBorder="1" applyAlignment="1">
      <alignment horizontal="center" vertical="bottom"/>
      <protection locked="1" hidden="1"/>
    </xf>
    <xf numFmtId="165" fontId="75" fillId="0" borderId="37" xfId="0" applyNumberFormat="1" applyFont="1" applyBorder="1" applyAlignment="1">
      <alignment vertical="bottom"/>
      <protection locked="1" hidden="1"/>
    </xf>
    <xf numFmtId="165" fontId="75" fillId="0" borderId="38" xfId="0" applyNumberFormat="1" applyFont="1" applyBorder="1" applyAlignment="1">
      <alignment vertical="bottom"/>
      <protection locked="1" hidden="1"/>
    </xf>
    <xf numFmtId="0" fontId="75" fillId="0" borderId="16" xfId="0" applyFont="1" applyBorder="1" applyAlignment="1">
      <alignment horizontal="left" vertical="bottom"/>
      <protection locked="1" hidden="1"/>
    </xf>
    <xf numFmtId="0" fontId="75" fillId="0" borderId="0" xfId="0" applyFont="1" applyBorder="1" applyAlignment="1">
      <alignment horizontal="left" vertical="bottom"/>
      <protection locked="1" hidden="1"/>
    </xf>
    <xf numFmtId="0" fontId="75" fillId="0" borderId="16" xfId="0" applyFont="1" applyBorder="1" applyAlignment="1">
      <alignment horizontal="center" vertical="bottom"/>
      <protection locked="1" hidden="1"/>
    </xf>
    <xf numFmtId="0" fontId="75" fillId="0" borderId="0" xfId="0" applyFont="1" applyBorder="1" applyAlignment="1">
      <alignment horizontal="center" vertical="bottom"/>
      <protection locked="1" hidden="1"/>
    </xf>
    <xf numFmtId="165" fontId="75" fillId="0" borderId="17" xfId="0" applyNumberFormat="1" applyFont="1" applyBorder="1" applyAlignment="1">
      <alignment vertical="bottom"/>
      <protection locked="1" hidden="1"/>
    </xf>
    <xf numFmtId="0" fontId="70" fillId="0" borderId="16" xfId="0" applyFont="1" applyBorder="1" applyAlignment="1">
      <alignment horizontal="center" vertical="bottom"/>
      <protection locked="1" hidden="1"/>
    </xf>
    <xf numFmtId="0" fontId="70" fillId="0" borderId="0" xfId="0" applyFont="1" applyBorder="1" applyAlignment="1">
      <alignment horizontal="left" vertical="bottom"/>
      <protection locked="1" hidden="1"/>
    </xf>
    <xf numFmtId="0" fontId="75" fillId="0" borderId="39" xfId="0" applyFont="1" applyBorder="1" applyAlignment="1">
      <alignment horizontal="center" vertical="bottom"/>
      <protection locked="1" hidden="1"/>
    </xf>
    <xf numFmtId="0" fontId="75" fillId="0" borderId="40" xfId="0" applyFont="1" applyBorder="1" applyAlignment="1">
      <alignment horizontal="center" vertical="bottom"/>
      <protection locked="1" hidden="1"/>
    </xf>
    <xf numFmtId="165" fontId="75" fillId="0" borderId="41" xfId="0" applyNumberFormat="1" applyFont="1" applyBorder="1" applyAlignment="1">
      <alignment vertical="bottom"/>
      <protection locked="1" hidden="1"/>
    </xf>
    <xf numFmtId="0" fontId="70" fillId="0" borderId="0" xfId="0" applyFont="1" applyBorder="1" applyAlignment="1">
      <alignment horizontal="left" vertical="bottom"/>
      <protection locked="1" hidden="1"/>
    </xf>
    <xf numFmtId="0" fontId="70" fillId="0" borderId="17" xfId="0" applyFont="1" applyBorder="1" applyAlignment="1">
      <alignment horizontal="left" vertical="bottom"/>
      <protection locked="1" hidden="1"/>
    </xf>
    <xf numFmtId="165" fontId="10" fillId="0" borderId="0" xfId="0" applyNumberFormat="1" applyAlignment="1">
      <alignment vertical="bottom"/>
      <protection locked="1" hidden="1"/>
    </xf>
    <xf numFmtId="165" fontId="75" fillId="0" borderId="42" xfId="0" applyNumberFormat="1" applyFont="1" applyBorder="1" applyAlignment="1">
      <alignment vertical="bottom"/>
      <protection locked="1" hidden="1"/>
    </xf>
    <xf numFmtId="165" fontId="78" fillId="0" borderId="38" xfId="0" applyNumberFormat="1" applyFont="1" applyBorder="1" applyAlignment="1">
      <alignment vertical="bottom"/>
      <protection locked="1" hidden="1"/>
    </xf>
    <xf numFmtId="0" fontId="70" fillId="0" borderId="0" xfId="0" applyFont="1" applyBorder="1" applyAlignment="1">
      <alignment horizontal="left" vertical="bottom" shrinkToFit="1"/>
      <protection locked="1" hidden="1"/>
    </xf>
    <xf numFmtId="0" fontId="70" fillId="0" borderId="0" xfId="0" applyFont="1" applyFill="1" applyBorder="1" applyAlignment="1">
      <alignment horizontal="left" vertical="bottom"/>
      <protection locked="1" hidden="1"/>
    </xf>
    <xf numFmtId="0" fontId="70" fillId="0" borderId="0" xfId="0" applyFont="1" applyFill="1" applyBorder="1" applyAlignment="1">
      <alignment horizontal="left" vertical="bottom"/>
      <protection locked="1" hidden="1"/>
    </xf>
    <xf numFmtId="165" fontId="75" fillId="0" borderId="43" xfId="0" applyNumberFormat="1" applyFont="1" applyBorder="1" applyAlignment="1">
      <alignment vertical="bottom"/>
      <protection locked="1" hidden="1"/>
    </xf>
    <xf numFmtId="0" fontId="10" fillId="0" borderId="16" xfId="0" applyBorder="1" applyAlignment="1">
      <alignment horizontal="center" vertical="bottom"/>
      <protection locked="1" hidden="1"/>
    </xf>
    <xf numFmtId="0" fontId="69" fillId="0" borderId="0" xfId="0" applyFont="1" applyAlignment="1">
      <alignment vertical="bottom"/>
      <protection locked="1" hidden="1"/>
    </xf>
    <xf numFmtId="0" fontId="10" fillId="0" borderId="40" xfId="0" applyBorder="1" applyAlignment="1">
      <alignment vertical="bottom"/>
      <protection locked="1" hidden="1"/>
    </xf>
    <xf numFmtId="0" fontId="10" fillId="0" borderId="41" xfId="0" applyBorder="1" applyAlignment="1">
      <alignment vertical="bottom"/>
      <protection locked="1" hidden="1"/>
    </xf>
    <xf numFmtId="0" fontId="10" fillId="0" borderId="43" xfId="0" applyBorder="1" applyAlignment="1">
      <alignment vertical="bottom"/>
      <protection locked="1" hidden="1"/>
    </xf>
    <xf numFmtId="0" fontId="80" fillId="0" borderId="0" xfId="0" applyFont="1" applyAlignment="1">
      <alignment vertical="bottom"/>
      <protection locked="1" hidden="1"/>
    </xf>
    <xf numFmtId="0" fontId="69" fillId="0" borderId="0" xfId="0" applyFont="1" applyAlignment="1">
      <alignment horizontal="left" vertical="bottom"/>
      <protection locked="1" hidden="1"/>
    </xf>
    <xf numFmtId="165" fontId="81" fillId="0" borderId="38" xfId="0" applyNumberFormat="1" applyFont="1" applyBorder="1" applyAlignment="1">
      <alignment vertical="bottom"/>
      <protection locked="1" hidden="1"/>
    </xf>
    <xf numFmtId="0" fontId="70" fillId="0" borderId="16" xfId="0" applyFont="1" applyBorder="1" applyAlignment="1">
      <alignment horizontal="left" vertical="bottom"/>
      <protection locked="1" hidden="1"/>
    </xf>
    <xf numFmtId="0" fontId="79" fillId="0" borderId="0" xfId="0" applyFont="1" applyBorder="1" applyAlignment="1">
      <alignment vertical="bottom"/>
      <protection locked="1" hidden="1"/>
    </xf>
    <xf numFmtId="0" fontId="79" fillId="0" borderId="17" xfId="0" applyFont="1" applyBorder="1" applyAlignment="1">
      <alignment vertical="bottom"/>
      <protection locked="1" hidden="1"/>
    </xf>
    <xf numFmtId="0" fontId="75" fillId="0" borderId="39" xfId="0" applyFont="1" applyBorder="1" applyAlignment="1">
      <alignment horizontal="center" vertical="center"/>
      <protection locked="1" hidden="1"/>
    </xf>
    <xf numFmtId="0" fontId="75" fillId="0" borderId="40" xfId="0" applyFont="1" applyBorder="1" applyAlignment="1">
      <alignment horizontal="center" vertical="center"/>
      <protection locked="1" hidden="1"/>
    </xf>
    <xf numFmtId="165" fontId="75" fillId="0" borderId="41" xfId="0" applyNumberFormat="1" applyFont="1" applyBorder="1">
      <alignment vertical="center"/>
      <protection locked="1" hidden="1"/>
    </xf>
    <xf numFmtId="0" fontId="70" fillId="0" borderId="16" xfId="0" applyFont="1" applyBorder="1" applyAlignment="1">
      <alignment horizontal="center" vertical="bottom"/>
      <protection locked="1" hidden="1"/>
    </xf>
    <xf numFmtId="0" fontId="79" fillId="0" borderId="0" xfId="0" applyFont="1" applyBorder="1" applyAlignment="1">
      <alignment vertical="bottom"/>
      <protection locked="1" hidden="1"/>
    </xf>
    <xf numFmtId="0" fontId="79" fillId="0" borderId="17" xfId="0" applyFont="1" applyBorder="1" applyAlignment="1">
      <alignment vertical="bottom"/>
      <protection locked="1" hidden="1"/>
    </xf>
    <xf numFmtId="0" fontId="75" fillId="0" borderId="36" xfId="0" applyFont="1" applyBorder="1" applyAlignment="1">
      <alignment horizontal="center" vertical="center"/>
      <protection locked="1" hidden="1"/>
    </xf>
    <xf numFmtId="0" fontId="79" fillId="0" borderId="0" xfId="0" applyFont="1" applyBorder="1" applyAlignment="1">
      <alignment horizontal="left" vertical="bottom"/>
      <protection locked="1" hidden="1"/>
    </xf>
    <xf numFmtId="0" fontId="79" fillId="0" borderId="17" xfId="0" applyFont="1" applyBorder="1" applyAlignment="1">
      <alignment horizontal="left" vertical="bottom"/>
      <protection locked="1" hidden="1"/>
    </xf>
    <xf numFmtId="0" fontId="75" fillId="0" borderId="35" xfId="0" applyFont="1" applyBorder="1" applyAlignment="1">
      <alignment horizontal="center" vertical="center"/>
      <protection locked="1" hidden="1"/>
    </xf>
    <xf numFmtId="165" fontId="75" fillId="0" borderId="37" xfId="0" applyNumberFormat="1" applyFont="1" applyBorder="1">
      <alignment vertical="center"/>
      <protection locked="1" hidden="1"/>
    </xf>
    <xf numFmtId="0" fontId="79" fillId="0" borderId="0" xfId="0" applyFont="1" applyFill="1" applyBorder="1" applyAlignment="1">
      <alignment horizontal="left" vertical="bottom"/>
      <protection locked="1" hidden="1"/>
    </xf>
    <xf numFmtId="0" fontId="79" fillId="0" borderId="0" xfId="0" applyFont="1" applyFill="1" applyBorder="1" applyAlignment="1">
      <alignment horizontal="left" vertical="bottom"/>
      <protection locked="1" hidden="1"/>
    </xf>
    <xf numFmtId="0" fontId="79" fillId="0" borderId="0" xfId="0" applyFont="1" applyFill="1" applyBorder="1" applyAlignment="1">
      <alignment horizontal="center" vertical="bottom"/>
      <protection locked="1" hidden="1"/>
    </xf>
    <xf numFmtId="0" fontId="79" fillId="0" borderId="17" xfId="0" applyFont="1" applyFill="1" applyBorder="1" applyAlignment="1">
      <alignment horizontal="center" vertical="bottom"/>
      <protection locked="1" hidden="1"/>
    </xf>
    <xf numFmtId="0" fontId="78" fillId="0" borderId="16" xfId="0" applyFont="1" applyFill="1" applyBorder="1" applyAlignment="1">
      <alignment horizontal="left" vertical="bottom"/>
      <protection locked="1" hidden="1"/>
    </xf>
    <xf numFmtId="0" fontId="78" fillId="0" borderId="0" xfId="0" applyFont="1" applyFill="1" applyBorder="1" applyAlignment="1">
      <alignment horizontal="left" vertical="bottom"/>
      <protection locked="1" hidden="1"/>
    </xf>
    <xf numFmtId="0" fontId="75" fillId="0" borderId="18" xfId="0" applyFont="1" applyBorder="1" applyAlignment="1">
      <alignment horizontal="center" vertical="bottom"/>
      <protection locked="1" hidden="1"/>
    </xf>
    <xf numFmtId="0" fontId="75" fillId="0" borderId="15" xfId="0" applyFont="1" applyBorder="1" applyAlignment="1">
      <alignment horizontal="center" vertical="bottom"/>
      <protection locked="1" hidden="1"/>
    </xf>
    <xf numFmtId="165" fontId="75" fillId="0" borderId="19" xfId="0" applyNumberFormat="1" applyFont="1" applyBorder="1" applyAlignment="1">
      <alignment vertical="bottom"/>
      <protection locked="1" hidden="1"/>
    </xf>
    <xf numFmtId="168" fontId="78" fillId="0" borderId="38" xfId="0" applyNumberFormat="1" applyFont="1" applyBorder="1" applyAlignment="1">
      <alignment vertical="bottom"/>
      <protection locked="1" hidden="1"/>
    </xf>
    <xf numFmtId="0" fontId="82" fillId="0" borderId="0" xfId="0" applyFont="1" applyBorder="1" applyAlignment="1">
      <alignment horizontal="right" vertical="bottom"/>
      <protection locked="1" hidden="1"/>
    </xf>
    <xf numFmtId="1" fontId="79" fillId="0" borderId="0" xfId="0" applyNumberFormat="1" applyFont="1" applyBorder="1" applyAlignment="1">
      <alignment horizontal="left" vertical="bottom"/>
      <protection locked="1" hidden="1"/>
    </xf>
    <xf numFmtId="0" fontId="79" fillId="0" borderId="0" xfId="0" applyFont="1" applyBorder="1" applyAlignment="1">
      <alignment vertical="bottom"/>
      <protection locked="1" hidden="1"/>
    </xf>
    <xf numFmtId="0" fontId="79" fillId="0" borderId="0" xfId="0" applyFont="1" applyBorder="1" applyAlignment="1">
      <alignment horizontal="left" vertical="bottom"/>
      <protection locked="1" hidden="1"/>
    </xf>
    <xf numFmtId="0" fontId="79" fillId="0" borderId="0" xfId="0" applyFont="1" applyBorder="1" applyAlignment="1">
      <alignment horizontal="right" vertical="bottom"/>
      <protection locked="1" hidden="1"/>
    </xf>
    <xf numFmtId="0" fontId="70" fillId="0" borderId="16" xfId="0" applyFont="1" applyFill="1" applyBorder="1" applyAlignment="1">
      <alignment horizontal="center" vertical="bottom"/>
      <protection locked="1" hidden="1"/>
    </xf>
    <xf numFmtId="0" fontId="69" fillId="0" borderId="16" xfId="0" applyFont="1" applyBorder="1" applyAlignment="1">
      <alignment horizontal="center" vertical="bottom"/>
      <protection locked="1" hidden="1"/>
    </xf>
    <xf numFmtId="0" fontId="75" fillId="0" borderId="44" xfId="0" applyFont="1" applyBorder="1" applyAlignment="1">
      <alignment horizontal="center" vertical="bottom"/>
      <protection locked="1" hidden="1"/>
    </xf>
    <xf numFmtId="0" fontId="75" fillId="0" borderId="45" xfId="0" applyFont="1" applyBorder="1" applyAlignment="1">
      <alignment horizontal="center" vertical="bottom"/>
      <protection locked="1" hidden="1"/>
    </xf>
    <xf numFmtId="0" fontId="78" fillId="0" borderId="0" xfId="0" applyFont="1" applyBorder="1" applyAlignment="1">
      <alignment horizontal="left" vertical="bottom"/>
      <protection locked="1" hidden="1"/>
    </xf>
    <xf numFmtId="0" fontId="77" fillId="0" borderId="0" xfId="0" applyFont="1" applyBorder="1" applyAlignment="1">
      <alignment vertical="bottom"/>
      <protection locked="1" hidden="1"/>
    </xf>
    <xf numFmtId="0" fontId="75" fillId="0" borderId="8" xfId="0" applyFont="1" applyBorder="1" applyAlignment="1">
      <alignment horizontal="center" vertical="bottom"/>
      <protection locked="1" hidden="1"/>
    </xf>
    <xf numFmtId="0" fontId="75" fillId="0" borderId="14" xfId="0" applyFont="1" applyBorder="1" applyAlignment="1">
      <alignment horizontal="center" vertical="bottom"/>
      <protection locked="1" hidden="1"/>
    </xf>
    <xf numFmtId="165" fontId="83" fillId="0" borderId="11" xfId="0" applyNumberFormat="1" applyFont="1" applyBorder="1" applyAlignment="1">
      <alignment vertical="bottom"/>
      <protection locked="1" hidden="1"/>
    </xf>
    <xf numFmtId="165" fontId="78" fillId="0" borderId="42" xfId="0" applyNumberFormat="1" applyFont="1" applyBorder="1" applyAlignment="1">
      <alignment vertical="bottom"/>
      <protection locked="1" hidden="1"/>
    </xf>
    <xf numFmtId="0" fontId="78" fillId="0" borderId="17" xfId="0" applyFont="1" applyBorder="1" applyAlignment="1">
      <alignment horizontal="left" vertical="bottom"/>
      <protection locked="1" hidden="1"/>
    </xf>
    <xf numFmtId="0" fontId="75" fillId="0" borderId="32" xfId="0" applyFont="1" applyBorder="1" applyAlignment="1">
      <alignment horizontal="center" vertical="bottom"/>
      <protection locked="1" hidden="1"/>
    </xf>
    <xf numFmtId="0" fontId="75" fillId="0" borderId="33" xfId="0" applyFont="1" applyBorder="1" applyAlignment="1">
      <alignment horizontal="center" vertical="bottom"/>
      <protection locked="1" hidden="1"/>
    </xf>
    <xf numFmtId="165" fontId="75" fillId="0" borderId="46" xfId="0" applyNumberFormat="1" applyFont="1" applyBorder="1" applyAlignment="1">
      <alignment vertical="bottom"/>
      <protection locked="1" hidden="1"/>
    </xf>
    <xf numFmtId="165" fontId="78" fillId="0" borderId="38" xfId="0" applyNumberFormat="1" applyFont="1" applyBorder="1" applyAlignment="1">
      <alignment vertical="bottom"/>
      <protection locked="1" hidden="1"/>
    </xf>
    <xf numFmtId="0" fontId="78" fillId="0" borderId="0" xfId="0" applyFont="1" applyBorder="1" applyAlignment="1">
      <alignment horizontal="left" vertical="bottom"/>
      <protection locked="1" hidden="1"/>
    </xf>
    <xf numFmtId="165" fontId="78" fillId="0" borderId="47" xfId="0" applyNumberFormat="1" applyFont="1" applyBorder="1" applyAlignment="1">
      <alignment vertical="bottom"/>
      <protection locked="1" hidden="1"/>
    </xf>
    <xf numFmtId="165" fontId="75" fillId="0" borderId="41" xfId="0" applyNumberFormat="1" applyFont="1" applyBorder="1" applyAlignment="1">
      <alignment vertical="bottom"/>
      <protection locked="1" hidden="1"/>
    </xf>
    <xf numFmtId="165" fontId="84" fillId="0" borderId="0" xfId="0" applyNumberFormat="1" applyFont="1" applyAlignment="1">
      <alignment vertical="bottom"/>
      <protection locked="1" hidden="1"/>
    </xf>
    <xf numFmtId="165" fontId="75" fillId="0" borderId="48" xfId="0" applyNumberFormat="1" applyFont="1" applyBorder="1" applyAlignment="1">
      <alignment vertical="bottom"/>
      <protection locked="1" hidden="1"/>
    </xf>
    <xf numFmtId="0" fontId="70" fillId="0" borderId="0" xfId="0" applyFont="1" applyFill="1" applyBorder="1" applyAlignment="1">
      <alignment vertical="bottom"/>
      <protection locked="1" hidden="1"/>
    </xf>
    <xf numFmtId="0" fontId="70" fillId="0" borderId="0" xfId="0" applyFont="1" applyFill="1" applyBorder="1" applyAlignment="1">
      <alignment vertical="bottom"/>
      <protection locked="1" hidden="1"/>
    </xf>
    <xf numFmtId="169" fontId="70" fillId="0" borderId="0" xfId="0" applyNumberFormat="1" applyFont="1" applyFill="1" applyBorder="1" applyAlignment="1">
      <alignment vertical="bottom"/>
      <protection locked="1" hidden="1"/>
    </xf>
    <xf numFmtId="0" fontId="79" fillId="0" borderId="0" xfId="0" applyFont="1" applyBorder="1" applyAlignment="1">
      <alignment vertical="bottom"/>
      <protection locked="1" hidden="1"/>
    </xf>
    <xf numFmtId="165" fontId="75" fillId="0" borderId="48" xfId="0" applyNumberFormat="1" applyFont="1" applyBorder="1" applyAlignment="1">
      <alignment horizontal="right" vertical="bottom"/>
      <protection locked="1" hidden="1"/>
    </xf>
    <xf numFmtId="169" fontId="70" fillId="0" borderId="0" xfId="0" applyNumberFormat="1" applyFont="1" applyFill="1" applyBorder="1" applyAlignment="1">
      <alignment horizontal="left" vertical="bottom"/>
      <protection locked="1" hidden="1"/>
    </xf>
    <xf numFmtId="165" fontId="75" fillId="0" borderId="48" xfId="0" applyNumberFormat="1" applyFont="1" applyBorder="1" applyAlignment="1">
      <alignment horizontal="right" vertical="center"/>
      <protection locked="1" hidden="1"/>
    </xf>
    <xf numFmtId="0" fontId="70" fillId="0" borderId="0" xfId="0" applyFont="1" applyBorder="1" applyAlignment="1">
      <alignment vertical="bottom"/>
      <protection locked="1" hidden="1"/>
    </xf>
    <xf numFmtId="0" fontId="85" fillId="0" borderId="0" xfId="0" applyFont="1" applyBorder="1" applyAlignment="1">
      <alignment vertical="bottom"/>
      <protection locked="1" hidden="1"/>
    </xf>
    <xf numFmtId="0" fontId="70" fillId="0" borderId="17" xfId="0" applyFont="1" applyBorder="1" applyAlignment="1">
      <alignment horizontal="left" vertical="bottom"/>
      <protection locked="1" hidden="1"/>
    </xf>
    <xf numFmtId="0" fontId="70" fillId="0" borderId="16" xfId="0" applyFont="1" applyBorder="1" applyAlignment="1">
      <alignment horizontal="left" vertical="bottom"/>
      <protection locked="1" hidden="1"/>
    </xf>
    <xf numFmtId="0" fontId="75" fillId="0" borderId="40" xfId="0" applyFont="1" applyBorder="1" applyAlignment="1">
      <alignment vertical="bottom"/>
      <protection locked="1" hidden="1"/>
    </xf>
    <xf numFmtId="0" fontId="83" fillId="0" borderId="0" xfId="0" applyFont="1" applyBorder="1" applyAlignment="1">
      <alignment horizontal="left" vertical="bottom"/>
      <protection locked="1" hidden="1"/>
    </xf>
    <xf numFmtId="0" fontId="75" fillId="0" borderId="16" xfId="0" applyFont="1" applyBorder="1" applyAlignment="1">
      <alignment horizontal="left" vertical="bottom"/>
      <protection locked="1" hidden="1"/>
    </xf>
    <xf numFmtId="0" fontId="78" fillId="0" borderId="0" xfId="0" applyFont="1" applyBorder="1" applyAlignment="1">
      <alignment horizontal="left" vertical="bottom"/>
      <protection locked="1" hidden="1"/>
    </xf>
    <xf numFmtId="0" fontId="70" fillId="0" borderId="0" xfId="0" applyFont="1" applyBorder="1" applyAlignment="1">
      <alignment vertical="bottom"/>
      <protection locked="1" hidden="1"/>
    </xf>
    <xf numFmtId="17" fontId="70" fillId="0" borderId="40" xfId="0" applyNumberFormat="1" applyFont="1" applyBorder="1" applyAlignment="1">
      <alignment horizontal="center" vertical="bottom"/>
      <protection locked="1" hidden="1"/>
    </xf>
    <xf numFmtId="0" fontId="70" fillId="0" borderId="40" xfId="0" applyFont="1" applyBorder="1" applyAlignment="1">
      <alignment horizontal="right" vertical="bottom"/>
      <protection locked="1" hidden="1"/>
    </xf>
    <xf numFmtId="165" fontId="70" fillId="0" borderId="40" xfId="0" applyNumberFormat="1" applyFont="1" applyBorder="1" applyAlignment="1">
      <alignment horizontal="center" vertical="bottom"/>
      <protection locked="1" hidden="1"/>
    </xf>
    <xf numFmtId="0" fontId="75" fillId="0" borderId="16" xfId="0" applyFont="1" applyBorder="1" applyAlignment="1">
      <alignment vertical="bottom"/>
      <protection locked="1" hidden="1"/>
    </xf>
    <xf numFmtId="165" fontId="75" fillId="0" borderId="17" xfId="0" applyNumberFormat="1" applyFont="1" applyBorder="1" applyAlignment="1">
      <alignment vertical="bottom"/>
      <protection locked="1" hidden="1"/>
    </xf>
    <xf numFmtId="165" fontId="83" fillId="0" borderId="38" xfId="0" applyNumberFormat="1" applyFont="1" applyBorder="1" applyAlignment="1">
      <alignment vertical="bottom"/>
      <protection locked="1" hidden="1"/>
    </xf>
    <xf numFmtId="0" fontId="70" fillId="0" borderId="0" xfId="0" applyFont="1" applyBorder="1" applyAlignment="1">
      <alignment vertical="bottom"/>
      <protection locked="1" hidden="1"/>
    </xf>
    <xf numFmtId="165" fontId="70" fillId="0" borderId="0" xfId="0" applyNumberFormat="1" applyFont="1" applyBorder="1" applyAlignment="1">
      <alignment horizontal="center" vertical="bottom"/>
      <protection locked="1" hidden="1"/>
    </xf>
    <xf numFmtId="165" fontId="78" fillId="0" borderId="38" xfId="0" applyNumberFormat="1" applyFont="1" applyBorder="1" applyAlignment="1">
      <alignment horizontal="right" vertical="bottom"/>
      <protection locked="1" hidden="1"/>
    </xf>
    <xf numFmtId="0" fontId="78" fillId="0" borderId="27" xfId="0" applyFont="1" applyBorder="1" applyAlignment="1">
      <alignment horizontal="center" vertical="bottom"/>
      <protection locked="1" hidden="1"/>
    </xf>
    <xf numFmtId="0" fontId="78" fillId="0" borderId="18" xfId="0" applyFont="1" applyBorder="1" applyAlignment="1">
      <alignment horizontal="left" vertical="bottom"/>
      <protection locked="1" hidden="1"/>
    </xf>
    <xf numFmtId="0" fontId="78" fillId="0" borderId="15" xfId="0" applyFont="1" applyBorder="1" applyAlignment="1">
      <alignment horizontal="left" vertical="bottom"/>
      <protection locked="1" hidden="1"/>
    </xf>
    <xf numFmtId="0" fontId="79" fillId="0" borderId="15" xfId="0" applyFont="1" applyBorder="1" applyAlignment="1">
      <alignment vertical="bottom"/>
      <protection locked="1" hidden="1"/>
    </xf>
    <xf numFmtId="3" fontId="75" fillId="0" borderId="19" xfId="0" applyNumberFormat="1" applyFont="1" applyBorder="1" applyAlignment="1">
      <alignment vertical="bottom"/>
      <protection locked="1" hidden="1"/>
    </xf>
    <xf numFmtId="170" fontId="86" fillId="0" borderId="49" xfId="0" applyNumberFormat="1" applyFont="1" applyBorder="1" applyAlignment="1">
      <alignment horizontal="right" vertical="bottom"/>
      <protection locked="1" hidden="1"/>
    </xf>
    <xf numFmtId="0" fontId="83" fillId="0" borderId="31" xfId="0" applyFont="1" applyBorder="1" applyAlignment="1">
      <alignment horizontal="left" vertical="bottom"/>
      <protection locked="1" hidden="1"/>
    </xf>
    <xf numFmtId="0" fontId="83" fillId="0" borderId="38" xfId="0" applyFont="1" applyBorder="1" applyAlignment="1">
      <alignment horizontal="center" vertical="bottom"/>
      <protection locked="1" hidden="1"/>
    </xf>
    <xf numFmtId="0" fontId="75" fillId="0" borderId="31" xfId="0" applyFont="1" applyBorder="1" applyAlignment="1">
      <alignment horizontal="left" vertical="bottom"/>
      <protection locked="1" hidden="1"/>
    </xf>
    <xf numFmtId="0" fontId="75" fillId="0" borderId="0" xfId="0" applyFont="1" applyBorder="1" applyAlignment="1">
      <alignment horizontal="center" vertical="bottom"/>
      <protection locked="1" hidden="1"/>
    </xf>
    <xf numFmtId="0" fontId="75" fillId="0" borderId="38" xfId="0" applyFont="1" applyBorder="1" applyAlignment="1">
      <alignment horizontal="center" vertical="bottom"/>
      <protection locked="1" hidden="1"/>
    </xf>
    <xf numFmtId="3" fontId="75" fillId="0" borderId="0" xfId="0" applyNumberFormat="1" applyFont="1" applyBorder="1" applyAlignment="1">
      <alignment vertical="bottom"/>
      <protection locked="1" hidden="1"/>
    </xf>
    <xf numFmtId="3" fontId="83" fillId="0" borderId="38" xfId="0" applyNumberFormat="1" applyFont="1" applyBorder="1" applyAlignment="1">
      <alignment vertical="bottom"/>
      <protection locked="1" hidden="1"/>
    </xf>
    <xf numFmtId="0" fontId="83" fillId="0" borderId="50" xfId="0" applyFont="1" applyBorder="1" applyAlignment="1">
      <alignment horizontal="right" vertical="bottom"/>
      <protection locked="1" hidden="1"/>
    </xf>
    <xf numFmtId="0" fontId="79" fillId="0" borderId="51" xfId="0" applyFont="1" applyBorder="1" applyAlignment="1">
      <alignment horizontal="left" vertical="bottom"/>
      <protection locked="1" hidden="1"/>
    </xf>
    <xf numFmtId="0" fontId="79" fillId="0" borderId="51" xfId="0" applyFont="1" applyBorder="1" applyAlignment="1">
      <alignment vertical="bottom"/>
      <protection locked="1" hidden="1"/>
    </xf>
    <xf numFmtId="0" fontId="75" fillId="0" borderId="51" xfId="0" applyFont="1" applyBorder="1" applyAlignment="1">
      <alignment horizontal="center" vertical="bottom"/>
      <protection locked="1" hidden="1"/>
    </xf>
    <xf numFmtId="3" fontId="75" fillId="0" borderId="51" xfId="0" applyNumberFormat="1" applyFont="1" applyBorder="1" applyAlignment="1">
      <alignment vertical="bottom"/>
      <protection locked="1" hidden="1"/>
    </xf>
    <xf numFmtId="3" fontId="83" fillId="0" borderId="52" xfId="0" applyNumberFormat="1" applyFont="1" applyBorder="1" applyAlignment="1">
      <alignment vertical="bottom"/>
      <protection locked="1" hidden="1"/>
    </xf>
    <xf numFmtId="0" fontId="87" fillId="0" borderId="24" xfId="0" applyFont="1" applyBorder="1" applyAlignment="1">
      <alignment horizontal="center" vertical="center" wrapText="1"/>
      <protection locked="1" hidden="1"/>
    </xf>
    <xf numFmtId="0" fontId="88" fillId="0" borderId="25" xfId="0" applyFont="1" applyBorder="1" applyAlignment="1">
      <alignment horizontal="center" vertical="center" wrapText="1"/>
      <protection locked="1" hidden="1"/>
    </xf>
    <xf numFmtId="0" fontId="88" fillId="0" borderId="26" xfId="0" applyFont="1" applyBorder="1" applyAlignment="1">
      <alignment horizontal="center" vertical="center" wrapText="1"/>
      <protection locked="1" hidden="1"/>
    </xf>
    <xf numFmtId="0" fontId="70" fillId="0" borderId="31" xfId="0" applyFont="1" applyBorder="1" applyAlignment="1">
      <alignment horizontal="center" vertical="center" wrapText="1"/>
      <protection locked="1" hidden="1"/>
    </xf>
    <xf numFmtId="0" fontId="70" fillId="0" borderId="0" xfId="0" applyFont="1" applyBorder="1" applyAlignment="1">
      <alignment horizontal="center" vertical="center" wrapText="1"/>
      <protection locked="1" hidden="1"/>
    </xf>
    <xf numFmtId="0" fontId="70" fillId="0" borderId="38" xfId="0" applyFont="1" applyBorder="1" applyAlignment="1">
      <alignment horizontal="center" vertical="center" wrapText="1"/>
      <protection locked="1" hidden="1"/>
    </xf>
    <xf numFmtId="0" fontId="79" fillId="0" borderId="29" xfId="0" applyFont="1" applyBorder="1" applyAlignment="1">
      <alignment horizontal="center" vertical="center"/>
      <protection locked="1" hidden="1"/>
    </xf>
    <xf numFmtId="0" fontId="79" fillId="0" borderId="33" xfId="0" applyFont="1" applyBorder="1" applyAlignment="1">
      <alignment horizontal="center" vertical="center"/>
      <protection locked="1" hidden="1"/>
    </xf>
    <xf numFmtId="0" fontId="82" fillId="0" borderId="32" xfId="0" applyFont="1" applyBorder="1" applyAlignment="1">
      <alignment horizontal="left" vertical="center"/>
      <protection locked="1" hidden="1"/>
    </xf>
    <xf numFmtId="0" fontId="82" fillId="0" borderId="33" xfId="0" applyFont="1" applyBorder="1" applyAlignment="1">
      <alignment horizontal="left" vertical="center"/>
      <protection locked="1" hidden="1"/>
    </xf>
    <xf numFmtId="0" fontId="82" fillId="0" borderId="34" xfId="0" applyFont="1" applyBorder="1" applyAlignment="1">
      <alignment horizontal="left" vertical="center"/>
      <protection locked="1" hidden="1"/>
    </xf>
    <xf numFmtId="0" fontId="70" fillId="0" borderId="53" xfId="0" applyFont="1" applyBorder="1" applyAlignment="1">
      <alignment horizontal="center" vertical="center"/>
      <protection locked="1" hidden="1"/>
    </xf>
    <xf numFmtId="0" fontId="89" fillId="0" borderId="36" xfId="0" applyFont="1" applyBorder="1" applyAlignment="1">
      <alignment horizontal="left" vertical="center"/>
      <protection locked="1" hidden="1"/>
    </xf>
    <xf numFmtId="0" fontId="70" fillId="0" borderId="0" xfId="0" applyFont="1" applyBorder="1" applyAlignment="1">
      <alignment horizontal="center" vertical="center"/>
      <protection locked="1" hidden="1"/>
    </xf>
    <xf numFmtId="0" fontId="78" fillId="0" borderId="38" xfId="0" applyFont="1" applyBorder="1" applyAlignment="1">
      <alignment horizontal="left" vertical="bottom"/>
      <protection locked="1" hidden="1"/>
    </xf>
    <xf numFmtId="0" fontId="10" fillId="0" borderId="31" xfId="0" applyBorder="1" applyAlignment="1">
      <alignment vertical="bottom"/>
      <protection locked="1" hidden="1"/>
    </xf>
    <xf numFmtId="165" fontId="78" fillId="0" borderId="0" xfId="0" applyNumberFormat="1" applyFont="1" applyBorder="1" applyAlignment="1">
      <alignment horizontal="left" vertical="center" shrinkToFit="1"/>
    </xf>
    <xf numFmtId="165" fontId="75" fillId="0" borderId="31" xfId="0" applyNumberFormat="1" applyFont="1" applyBorder="1" applyAlignment="1">
      <alignment vertical="bottom"/>
      <protection locked="1" hidden="1"/>
    </xf>
    <xf numFmtId="0" fontId="89" fillId="0" borderId="0" xfId="0" applyFont="1" applyAlignment="1">
      <alignment horizontal="left" vertical="center" shrinkToFit="1"/>
      <protection locked="1" hidden="1"/>
    </xf>
    <xf numFmtId="165" fontId="70" fillId="0" borderId="31" xfId="0" applyNumberFormat="1" applyFont="1" applyBorder="1" applyAlignment="1">
      <alignment vertical="bottom"/>
      <protection locked="1" hidden="1"/>
    </xf>
    <xf numFmtId="165" fontId="78" fillId="0" borderId="54" xfId="0" applyNumberFormat="1" applyFont="1" applyBorder="1" applyAlignment="1">
      <alignment horizontal="left" vertical="center"/>
      <protection locked="1" hidden="1"/>
    </xf>
    <xf numFmtId="165" fontId="78" fillId="0" borderId="54" xfId="0" applyNumberFormat="1" applyFont="1" applyBorder="1" applyAlignment="1">
      <alignment horizontal="left" vertical="center" shrinkToFit="1"/>
      <protection locked="1" hidden="1"/>
    </xf>
    <xf numFmtId="165" fontId="70" fillId="0" borderId="17" xfId="0" applyNumberFormat="1" applyFont="1" applyBorder="1" applyAlignment="1">
      <alignment vertical="bottom"/>
      <protection locked="1" hidden="1"/>
    </xf>
    <xf numFmtId="165" fontId="70" fillId="0" borderId="55" xfId="0" applyNumberFormat="1" applyFont="1" applyBorder="1" applyAlignment="1">
      <alignment horizontal="center" vertical="bottom"/>
      <protection locked="1" hidden="1"/>
    </xf>
    <xf numFmtId="165" fontId="70" fillId="0" borderId="56" xfId="0" applyNumberFormat="1" applyFont="1" applyBorder="1" applyAlignment="1">
      <alignment horizontal="center" vertical="bottom"/>
      <protection locked="1" hidden="1"/>
    </xf>
    <xf numFmtId="165" fontId="70" fillId="0" borderId="57" xfId="0" applyNumberFormat="1" applyFont="1" applyBorder="1" applyAlignment="1">
      <alignment horizontal="center" vertical="bottom"/>
      <protection locked="1" hidden="1"/>
    </xf>
    <xf numFmtId="165" fontId="75" fillId="0" borderId="58" xfId="0" applyNumberFormat="1" applyFont="1" applyBorder="1" applyAlignment="1">
      <alignment horizontal="center" vertical="bottom"/>
      <protection locked="1" hidden="1"/>
    </xf>
    <xf numFmtId="165" fontId="75" fillId="0" borderId="56" xfId="0" applyNumberFormat="1" applyFont="1" applyBorder="1" applyAlignment="1">
      <alignment horizontal="center" vertical="bottom"/>
      <protection locked="1" hidden="1"/>
    </xf>
    <xf numFmtId="165" fontId="75" fillId="0" borderId="57" xfId="0" applyNumberFormat="1" applyFont="1" applyBorder="1" applyAlignment="1">
      <alignment horizontal="center" vertical="bottom"/>
      <protection locked="1" hidden="1"/>
    </xf>
    <xf numFmtId="0" fontId="75" fillId="0" borderId="38" xfId="0" applyFont="1" applyBorder="1" applyAlignment="1">
      <alignment horizontal="left" vertical="bottom"/>
      <protection locked="1" hidden="1"/>
    </xf>
    <xf numFmtId="0" fontId="70" fillId="0" borderId="31" xfId="0" applyFont="1" applyBorder="1" applyAlignment="1">
      <alignment horizontal="center" vertical="bottom"/>
      <protection locked="1" hidden="1"/>
    </xf>
    <xf numFmtId="0" fontId="70" fillId="0" borderId="0" xfId="0" applyFont="1" applyBorder="1" applyAlignment="1">
      <alignment horizontal="center" vertical="bottom"/>
      <protection locked="1" hidden="1"/>
    </xf>
    <xf numFmtId="0" fontId="70" fillId="0" borderId="16" xfId="0" applyFont="1" applyBorder="1" applyAlignment="1">
      <alignment horizontal="center" vertical="bottom"/>
      <protection locked="1" hidden="1"/>
    </xf>
    <xf numFmtId="0" fontId="70" fillId="0" borderId="38" xfId="0" applyFont="1" applyBorder="1" applyAlignment="1">
      <alignment horizontal="center" vertical="bottom"/>
      <protection locked="1" hidden="1"/>
    </xf>
    <xf numFmtId="0" fontId="75" fillId="0" borderId="55" xfId="0" applyFont="1" applyBorder="1" applyAlignment="1">
      <alignment horizontal="center" vertical="center"/>
      <protection locked="1" hidden="1"/>
    </xf>
    <xf numFmtId="0" fontId="75" fillId="0" borderId="56" xfId="0" applyFont="1" applyBorder="1" applyAlignment="1">
      <alignment horizontal="center" vertical="center"/>
      <protection locked="1" hidden="1"/>
    </xf>
    <xf numFmtId="0" fontId="75" fillId="0" borderId="57" xfId="0" applyFont="1" applyBorder="1" applyAlignment="1">
      <alignment horizontal="center" vertical="center"/>
      <protection locked="1" hidden="1"/>
    </xf>
    <xf numFmtId="0" fontId="75" fillId="0" borderId="58" xfId="0" applyFont="1" applyBorder="1" applyAlignment="1">
      <alignment horizontal="center" vertical="center"/>
      <protection locked="1" hidden="1"/>
    </xf>
    <xf numFmtId="0" fontId="83" fillId="0" borderId="58" xfId="0" applyFont="1" applyBorder="1" applyAlignment="1">
      <alignment horizontal="center" vertical="center"/>
      <protection locked="1" hidden="1"/>
    </xf>
    <xf numFmtId="0" fontId="83" fillId="0" borderId="56" xfId="0" applyFont="1" applyBorder="1" applyAlignment="1">
      <alignment horizontal="center" vertical="center"/>
      <protection locked="1" hidden="1"/>
    </xf>
    <xf numFmtId="0" fontId="83" fillId="0" borderId="57" xfId="0" applyFont="1" applyBorder="1" applyAlignment="1">
      <alignment horizontal="center" vertical="center"/>
      <protection locked="1" hidden="1"/>
    </xf>
    <xf numFmtId="0" fontId="75" fillId="0" borderId="59" xfId="0" applyFont="1" applyBorder="1" applyAlignment="1">
      <alignment horizontal="center" vertical="center"/>
      <protection locked="1" hidden="1"/>
    </xf>
    <xf numFmtId="0" fontId="70" fillId="0" borderId="27" xfId="0" applyFont="1" applyBorder="1" applyAlignment="1">
      <alignment horizontal="center" vertical="center" wrapText="1"/>
      <protection locked="1" hidden="1"/>
    </xf>
    <xf numFmtId="0" fontId="70" fillId="0" borderId="15" xfId="0" applyFont="1" applyBorder="1" applyAlignment="1">
      <alignment horizontal="center" vertical="center" wrapText="1"/>
      <protection locked="1" hidden="1"/>
    </xf>
    <xf numFmtId="0" fontId="70" fillId="0" borderId="28" xfId="0" applyFont="1" applyBorder="1" applyAlignment="1">
      <alignment horizontal="center" vertical="center" wrapText="1"/>
      <protection locked="1" hidden="1"/>
    </xf>
    <xf numFmtId="0" fontId="70" fillId="0" borderId="60" xfId="0" applyFont="1" applyBorder="1" applyAlignment="1">
      <alignment horizontal="center" vertical="center"/>
      <protection locked="1" hidden="1"/>
    </xf>
    <xf numFmtId="0" fontId="70" fillId="0" borderId="20" xfId="0" applyFont="1" applyBorder="1" applyAlignment="1">
      <alignment horizontal="center" vertical="center"/>
      <protection locked="1" hidden="1"/>
    </xf>
    <xf numFmtId="0" fontId="70" fillId="0" borderId="18" xfId="0" applyFont="1" applyBorder="1" applyAlignment="1">
      <alignment horizontal="center" vertical="center"/>
      <protection locked="1" hidden="1"/>
    </xf>
    <xf numFmtId="0" fontId="70" fillId="0" borderId="9" xfId="0" applyFont="1" applyBorder="1" applyAlignment="1">
      <alignment horizontal="center" vertical="center"/>
      <protection locked="1" hidden="1"/>
    </xf>
    <xf numFmtId="0" fontId="70" fillId="0" borderId="30" xfId="0" applyFont="1" applyBorder="1" applyAlignment="1">
      <alignment horizontal="center" vertical="center"/>
      <protection locked="1" hidden="1"/>
    </xf>
    <xf numFmtId="0" fontId="70" fillId="0" borderId="28" xfId="0" applyFont="1" applyBorder="1" applyAlignment="1">
      <alignment horizontal="center" vertical="center"/>
      <protection locked="1" hidden="1"/>
    </xf>
    <xf numFmtId="0" fontId="70" fillId="0" borderId="61" xfId="0" applyFont="1" applyBorder="1" applyAlignment="1">
      <alignment horizontal="center" vertical="center"/>
      <protection locked="1" hidden="1"/>
    </xf>
    <xf numFmtId="0" fontId="70" fillId="0" borderId="7" xfId="0" applyFont="1" applyBorder="1" applyAlignment="1">
      <alignment horizontal="center" vertical="center"/>
      <protection locked="1" hidden="1"/>
    </xf>
    <xf numFmtId="17" fontId="78" fillId="0" borderId="9" xfId="0" applyNumberFormat="1" applyFont="1" applyBorder="1" applyAlignment="1">
      <alignment horizontal="center" vertical="center"/>
      <protection locked="1" hidden="1"/>
    </xf>
    <xf numFmtId="0" fontId="78" fillId="0" borderId="22" xfId="0" applyFont="1" applyBorder="1" applyAlignment="1">
      <alignment horizontal="center" vertical="center"/>
      <protection locked="1" hidden="1"/>
    </xf>
    <xf numFmtId="0" fontId="78" fillId="0" borderId="10" xfId="0" applyFont="1" applyBorder="1" applyAlignment="1">
      <alignment horizontal="center" vertical="center"/>
      <protection locked="1" hidden="1"/>
    </xf>
    <xf numFmtId="0" fontId="78" fillId="0" borderId="0" xfId="0" applyFont="1" applyBorder="1" applyAlignment="1">
      <alignment horizontal="center" vertical="center"/>
      <protection locked="1" hidden="1"/>
    </xf>
    <xf numFmtId="0" fontId="78" fillId="0" borderId="38" xfId="0" applyFont="1" applyBorder="1" applyAlignment="1">
      <alignment horizontal="center" vertical="center"/>
      <protection locked="1" hidden="1"/>
    </xf>
    <xf numFmtId="0" fontId="78" fillId="0" borderId="16" xfId="0" applyFont="1" applyBorder="1" applyAlignment="1">
      <alignment horizontal="center" vertical="center"/>
      <protection locked="1" hidden="1"/>
    </xf>
    <xf numFmtId="0" fontId="78" fillId="0" borderId="17" xfId="0" applyFont="1" applyBorder="1" applyAlignment="1">
      <alignment horizontal="center" vertical="center"/>
      <protection locked="1" hidden="1"/>
    </xf>
    <xf numFmtId="0" fontId="78" fillId="0" borderId="18" xfId="0" applyFont="1" applyBorder="1" applyAlignment="1">
      <alignment horizontal="center" vertical="center"/>
      <protection locked="1" hidden="1"/>
    </xf>
    <xf numFmtId="0" fontId="78" fillId="0" borderId="15" xfId="0" applyFont="1" applyBorder="1" applyAlignment="1">
      <alignment horizontal="center" vertical="center"/>
      <protection locked="1" hidden="1"/>
    </xf>
    <xf numFmtId="0" fontId="78" fillId="0" borderId="19" xfId="0" applyFont="1" applyBorder="1" applyAlignment="1">
      <alignment horizontal="center" vertical="center"/>
      <protection locked="1" hidden="1"/>
    </xf>
    <xf numFmtId="0" fontId="78" fillId="0" borderId="28" xfId="0" applyFont="1" applyBorder="1" applyAlignment="1">
      <alignment horizontal="center" vertical="center"/>
      <protection locked="1" hidden="1"/>
    </xf>
    <xf numFmtId="0" fontId="81" fillId="0" borderId="31" xfId="0" applyFont="1" applyBorder="1" applyAlignment="1">
      <alignment horizontal="center" vertical="center"/>
      <protection locked="1" hidden="1"/>
    </xf>
    <xf numFmtId="0" fontId="81" fillId="0" borderId="0" xfId="0" applyFont="1" applyBorder="1" applyAlignment="1">
      <alignment horizontal="center" vertical="center"/>
      <protection locked="1" hidden="1"/>
    </xf>
    <xf numFmtId="0" fontId="81" fillId="0" borderId="38" xfId="0" applyFont="1" applyBorder="1" applyAlignment="1">
      <alignment horizontal="center" vertical="center"/>
      <protection locked="1" hidden="1"/>
    </xf>
    <xf numFmtId="0" fontId="79" fillId="0" borderId="29" xfId="0" applyFont="1" applyBorder="1" applyAlignment="1">
      <alignment horizontal="center" vertical="bottom"/>
      <protection locked="1" hidden="1"/>
    </xf>
    <xf numFmtId="0" fontId="79" fillId="0" borderId="22" xfId="0" applyFont="1" applyBorder="1" applyAlignment="1">
      <alignment horizontal="center" vertical="bottom"/>
      <protection locked="1" hidden="1"/>
    </xf>
    <xf numFmtId="0" fontId="79" fillId="0" borderId="30" xfId="0" applyFont="1" applyBorder="1" applyAlignment="1">
      <alignment horizontal="center" vertical="bottom"/>
      <protection locked="1" hidden="1"/>
    </xf>
    <xf numFmtId="0" fontId="78" fillId="0" borderId="31" xfId="0" applyFont="1" applyBorder="1" applyAlignment="1">
      <alignment horizontal="center" vertical="center"/>
      <protection locked="1" hidden="1"/>
    </xf>
    <xf numFmtId="0" fontId="78" fillId="0" borderId="16" xfId="0" applyFont="1" applyBorder="1" applyAlignment="1">
      <alignment horizontal="left" vertical="center"/>
      <protection locked="1" hidden="1"/>
    </xf>
    <xf numFmtId="0" fontId="78" fillId="0" borderId="0" xfId="0" applyFont="1" applyBorder="1" applyAlignment="1">
      <alignment horizontal="left" vertical="center"/>
      <protection locked="1" hidden="1"/>
    </xf>
    <xf numFmtId="0" fontId="79" fillId="0" borderId="0" xfId="0" applyFont="1" applyBorder="1">
      <alignment vertical="center"/>
      <protection locked="1" hidden="1"/>
    </xf>
    <xf numFmtId="0" fontId="79" fillId="0" borderId="62" xfId="0" applyFont="1" applyBorder="1">
      <alignment vertical="center"/>
      <protection locked="1" hidden="1"/>
    </xf>
    <xf numFmtId="165" fontId="70" fillId="0" borderId="63" xfId="0" applyNumberFormat="1" applyFont="1" applyBorder="1">
      <alignment vertical="center"/>
      <protection locked="1" hidden="1"/>
    </xf>
    <xf numFmtId="3" fontId="79" fillId="0" borderId="0" xfId="0" applyNumberFormat="1" applyFont="1" applyBorder="1">
      <alignment vertical="center"/>
      <protection locked="1" hidden="1"/>
    </xf>
    <xf numFmtId="3" fontId="79" fillId="0" borderId="17" xfId="0" applyNumberFormat="1" applyFont="1" applyBorder="1">
      <alignment vertical="center"/>
      <protection locked="1" hidden="1"/>
    </xf>
    <xf numFmtId="165" fontId="70" fillId="0" borderId="38" xfId="0" applyNumberFormat="1" applyFont="1" applyBorder="1">
      <alignment vertical="center"/>
      <protection locked="1" hidden="1"/>
    </xf>
    <xf numFmtId="0" fontId="70" fillId="0" borderId="16" xfId="0" applyFont="1" applyBorder="1">
      <alignment vertical="center"/>
      <protection locked="1" hidden="1"/>
    </xf>
    <xf numFmtId="0" fontId="70" fillId="0" borderId="0" xfId="0" applyFont="1" applyBorder="1">
      <alignment vertical="center"/>
      <protection locked="1" hidden="1"/>
    </xf>
    <xf numFmtId="0" fontId="79" fillId="0" borderId="39" xfId="0" applyFont="1" applyBorder="1">
      <alignment vertical="center"/>
      <protection locked="1" hidden="1"/>
    </xf>
    <xf numFmtId="165" fontId="70" fillId="0" borderId="41" xfId="0" applyNumberFormat="1" applyFont="1" applyBorder="1">
      <alignment vertical="center"/>
      <protection locked="1" hidden="1"/>
    </xf>
    <xf numFmtId="0" fontId="79" fillId="0" borderId="35" xfId="0" applyFont="1" applyBorder="1">
      <alignment vertical="center"/>
      <protection locked="1" hidden="1"/>
    </xf>
    <xf numFmtId="165" fontId="70" fillId="0" borderId="37" xfId="0" applyNumberFormat="1" applyFont="1" applyBorder="1">
      <alignment vertical="center"/>
      <protection locked="1" hidden="1"/>
    </xf>
    <xf numFmtId="0" fontId="79" fillId="0" borderId="44" xfId="0" applyFont="1" applyBorder="1">
      <alignment vertical="center"/>
      <protection locked="1" hidden="1"/>
    </xf>
    <xf numFmtId="165" fontId="70" fillId="0" borderId="64" xfId="0" applyNumberFormat="1" applyFont="1" applyBorder="1">
      <alignment vertical="center"/>
      <protection locked="1" hidden="1"/>
    </xf>
    <xf numFmtId="0" fontId="78" fillId="0" borderId="0" xfId="0" applyFont="1" applyBorder="1" applyAlignment="1">
      <alignment horizontal="left" vertical="center"/>
      <protection locked="1" hidden="1"/>
    </xf>
    <xf numFmtId="0" fontId="79" fillId="0" borderId="16" xfId="0" applyFont="1" applyBorder="1">
      <alignment vertical="center"/>
      <protection locked="1" hidden="1"/>
    </xf>
    <xf numFmtId="165" fontId="70" fillId="0" borderId="17" xfId="0" applyNumberFormat="1" applyFont="1" applyBorder="1">
      <alignment vertical="center"/>
      <protection locked="1" hidden="1"/>
    </xf>
    <xf numFmtId="165" fontId="75" fillId="0" borderId="38" xfId="0" applyNumberFormat="1" applyFont="1" applyBorder="1">
      <alignment vertical="center"/>
      <protection locked="1" hidden="1"/>
    </xf>
    <xf numFmtId="0" fontId="70" fillId="0" borderId="16" xfId="0" applyFont="1" applyBorder="1">
      <alignment vertical="center"/>
      <protection locked="1" hidden="1"/>
    </xf>
    <xf numFmtId="165" fontId="70" fillId="0" borderId="0" xfId="0" applyNumberFormat="1" applyFont="1" applyBorder="1">
      <alignment vertical="center"/>
      <protection locked="1" hidden="1"/>
    </xf>
    <xf numFmtId="3" fontId="79" fillId="0" borderId="16" xfId="0" applyNumberFormat="1" applyFont="1" applyBorder="1">
      <alignment vertical="center"/>
      <protection locked="1" hidden="1"/>
    </xf>
    <xf numFmtId="0" fontId="70" fillId="0" borderId="0" xfId="0" applyFont="1" applyBorder="1">
      <alignment vertical="center"/>
      <protection locked="1" hidden="1"/>
    </xf>
    <xf numFmtId="0" fontId="70" fillId="0" borderId="17" xfId="0" applyFont="1" applyBorder="1">
      <alignment vertical="center"/>
      <protection locked="1" hidden="1"/>
    </xf>
    <xf numFmtId="0" fontId="79" fillId="0" borderId="40" xfId="0" applyFont="1" applyBorder="1">
      <alignment vertical="center"/>
      <protection locked="1" hidden="1"/>
    </xf>
    <xf numFmtId="165" fontId="70" fillId="0" borderId="40" xfId="0" applyNumberFormat="1" applyFont="1" applyBorder="1">
      <alignment vertical="center"/>
      <protection locked="1" hidden="1"/>
    </xf>
    <xf numFmtId="0" fontId="10" fillId="0" borderId="38" xfId="0" applyBorder="1" applyAlignment="1">
      <alignment vertical="bottom"/>
      <protection locked="1" hidden="1"/>
    </xf>
    <xf numFmtId="0" fontId="70" fillId="0" borderId="16" xfId="0" applyFont="1" applyBorder="1">
      <alignment vertical="center"/>
      <protection locked="1" hidden="1"/>
    </xf>
    <xf numFmtId="0" fontId="70" fillId="0" borderId="0" xfId="0" applyFont="1" applyBorder="1">
      <alignment vertical="center"/>
      <protection locked="1" hidden="1"/>
    </xf>
    <xf numFmtId="3" fontId="79" fillId="0" borderId="18" xfId="0" applyNumberFormat="1" applyFont="1" applyBorder="1">
      <alignment vertical="center"/>
      <protection locked="1" hidden="1"/>
    </xf>
    <xf numFmtId="165" fontId="70" fillId="0" borderId="28" xfId="0" applyNumberFormat="1" applyFont="1" applyBorder="1">
      <alignment vertical="center"/>
      <protection locked="1" hidden="1"/>
    </xf>
    <xf numFmtId="0" fontId="78" fillId="0" borderId="16" xfId="0" applyFont="1" applyBorder="1">
      <alignment vertical="center"/>
      <protection locked="1" hidden="1"/>
    </xf>
    <xf numFmtId="0" fontId="78" fillId="0" borderId="0" xfId="0" applyFont="1" applyBorder="1">
      <alignment vertical="center"/>
      <protection locked="1" hidden="1"/>
    </xf>
    <xf numFmtId="0" fontId="78" fillId="0" borderId="17" xfId="0" applyFont="1" applyBorder="1">
      <alignment vertical="center"/>
      <protection locked="1" hidden="1"/>
    </xf>
    <xf numFmtId="0" fontId="79" fillId="0" borderId="17" xfId="0" applyFont="1" applyBorder="1">
      <alignment vertical="center"/>
      <protection locked="1" hidden="1"/>
    </xf>
    <xf numFmtId="0" fontId="70" fillId="0" borderId="16" xfId="0" applyFont="1" applyBorder="1">
      <alignment vertical="center"/>
      <protection locked="1" hidden="1"/>
    </xf>
    <xf numFmtId="0" fontId="70" fillId="0" borderId="0" xfId="0" applyFont="1" applyBorder="1">
      <alignment vertical="center"/>
      <protection locked="1" hidden="1"/>
    </xf>
    <xf numFmtId="0" fontId="79" fillId="0" borderId="0" xfId="0" applyFont="1" applyBorder="1">
      <alignment vertical="center"/>
      <protection locked="1" hidden="1"/>
    </xf>
    <xf numFmtId="3" fontId="79" fillId="0" borderId="0" xfId="0" applyNumberFormat="1" applyFont="1" applyBorder="1">
      <alignment vertical="center"/>
      <protection locked="1" hidden="1"/>
    </xf>
    <xf numFmtId="0" fontId="82" fillId="0" borderId="16" xfId="0" applyFont="1" applyBorder="1">
      <alignment vertical="center"/>
    </xf>
    <xf numFmtId="0" fontId="82" fillId="0" borderId="0" xfId="0" applyFont="1" applyBorder="1">
      <alignment vertical="center"/>
    </xf>
    <xf numFmtId="3" fontId="79" fillId="0" borderId="32" xfId="0" applyNumberFormat="1" applyFont="1" applyBorder="1">
      <alignment vertical="center"/>
      <protection locked="1" hidden="1"/>
    </xf>
    <xf numFmtId="165" fontId="75" fillId="0" borderId="34" xfId="0" applyNumberFormat="1" applyFont="1" applyBorder="1">
      <alignment vertical="center"/>
      <protection locked="1" hidden="1"/>
    </xf>
    <xf numFmtId="3" fontId="79" fillId="0" borderId="39" xfId="0" applyNumberFormat="1" applyFont="1" applyBorder="1">
      <alignment vertical="center"/>
      <protection locked="1" hidden="1"/>
    </xf>
    <xf numFmtId="165" fontId="70" fillId="0" borderId="48" xfId="0" applyNumberFormat="1" applyFont="1" applyBorder="1">
      <alignment vertical="center"/>
      <protection locked="1" hidden="1"/>
    </xf>
    <xf numFmtId="0" fontId="10" fillId="0" borderId="16" xfId="0" applyBorder="1" applyAlignment="1">
      <alignment vertical="bottom"/>
    </xf>
    <xf numFmtId="165" fontId="70" fillId="0" borderId="65" xfId="0" applyNumberFormat="1" applyFont="1" applyBorder="1">
      <alignment vertical="center"/>
      <protection locked="1" hidden="1"/>
    </xf>
    <xf numFmtId="0" fontId="77" fillId="0" borderId="0" xfId="0" applyFont="1" applyBorder="1">
      <alignment vertical="center"/>
      <protection locked="1" hidden="1"/>
    </xf>
    <xf numFmtId="3" fontId="79" fillId="0" borderId="8" xfId="0" applyNumberFormat="1" applyFont="1" applyBorder="1">
      <alignment vertical="center"/>
      <protection locked="1" hidden="1"/>
    </xf>
    <xf numFmtId="165" fontId="75" fillId="0" borderId="66" xfId="0" applyNumberFormat="1" applyFont="1" applyBorder="1">
      <alignment vertical="center"/>
      <protection locked="1" hidden="1"/>
    </xf>
    <xf numFmtId="165" fontId="79" fillId="0" borderId="17" xfId="0" applyNumberFormat="1" applyFont="1" applyBorder="1">
      <alignment vertical="center"/>
      <protection locked="1" hidden="1"/>
    </xf>
    <xf numFmtId="0" fontId="78" fillId="0" borderId="31" xfId="0" applyFont="1" applyBorder="1" applyAlignment="1">
      <alignment horizontal="right" vertical="center"/>
      <protection locked="1" hidden="1"/>
    </xf>
    <xf numFmtId="0" fontId="75" fillId="0" borderId="16" xfId="0" applyFont="1" applyBorder="1">
      <alignment vertical="center"/>
      <protection locked="1" hidden="1"/>
    </xf>
    <xf numFmtId="0" fontId="75" fillId="0" borderId="0" xfId="0" applyFont="1" applyBorder="1">
      <alignment vertical="center"/>
      <protection locked="1" hidden="1"/>
    </xf>
    <xf numFmtId="0" fontId="70" fillId="0" borderId="16" xfId="0" applyFont="1" applyBorder="1" applyAlignment="1">
      <alignment horizontal="center" vertical="center"/>
      <protection locked="1" hidden="1"/>
    </xf>
    <xf numFmtId="0" fontId="70" fillId="0" borderId="17" xfId="0" applyFont="1" applyBorder="1" applyAlignment="1">
      <alignment horizontal="center" vertical="center"/>
      <protection locked="1" hidden="1"/>
    </xf>
    <xf numFmtId="0" fontId="78" fillId="0" borderId="16" xfId="0" applyFont="1" applyBorder="1">
      <alignment vertical="center"/>
      <protection locked="1" hidden="1"/>
    </xf>
    <xf numFmtId="0" fontId="78" fillId="0" borderId="0" xfId="0" applyFont="1" applyBorder="1">
      <alignment vertical="center"/>
      <protection locked="1" hidden="1"/>
    </xf>
    <xf numFmtId="0" fontId="83" fillId="0" borderId="0" xfId="0" applyFont="1" applyBorder="1">
      <alignment vertical="center"/>
      <protection locked="1" hidden="1"/>
    </xf>
    <xf numFmtId="3" fontId="79" fillId="0" borderId="16" xfId="0" applyNumberFormat="1" applyFont="1" applyBorder="1" applyAlignment="1">
      <alignment horizontal="right" vertical="center"/>
      <protection locked="1" hidden="1"/>
    </xf>
    <xf numFmtId="3" fontId="79" fillId="0" borderId="40" xfId="0" applyNumberFormat="1" applyFont="1" applyBorder="1">
      <alignment vertical="center"/>
      <protection locked="1" hidden="1"/>
    </xf>
    <xf numFmtId="3" fontId="82" fillId="0" borderId="0" xfId="0" applyNumberFormat="1" applyFont="1" applyBorder="1" applyAlignment="1">
      <alignment horizontal="left" vertical="center"/>
      <protection locked="1" hidden="1"/>
    </xf>
    <xf numFmtId="3" fontId="79" fillId="0" borderId="0" xfId="0" applyNumberFormat="1" applyFont="1" applyBorder="1" applyAlignment="1">
      <alignment horizontal="left" vertical="center"/>
      <protection locked="1" hidden="1"/>
    </xf>
    <xf numFmtId="3" fontId="82" fillId="0" borderId="0" xfId="0" applyNumberFormat="1" applyFont="1" applyBorder="1" applyAlignment="1">
      <alignment horizontal="center" vertical="center"/>
      <protection locked="1" hidden="1"/>
    </xf>
    <xf numFmtId="3" fontId="79" fillId="0" borderId="0" xfId="0" applyNumberFormat="1" applyFont="1" applyBorder="1" applyAlignment="1">
      <alignment horizontal="left" vertical="center"/>
      <protection locked="1" hidden="1"/>
    </xf>
    <xf numFmtId="3" fontId="79" fillId="0" borderId="36" xfId="0" applyNumberFormat="1" applyFont="1" applyBorder="1">
      <alignment vertical="center"/>
      <protection locked="1" hidden="1"/>
    </xf>
    <xf numFmtId="3" fontId="79" fillId="0" borderId="35" xfId="0" applyNumberFormat="1" applyFont="1" applyBorder="1">
      <alignment vertical="center"/>
      <protection locked="1" hidden="1"/>
    </xf>
    <xf numFmtId="3" fontId="79" fillId="0" borderId="0" xfId="0" applyNumberFormat="1" applyFont="1" applyBorder="1" applyAlignment="1">
      <alignment horizontal="left" vertical="center"/>
      <protection locked="1" hidden="1"/>
    </xf>
    <xf numFmtId="3" fontId="79" fillId="0" borderId="41" xfId="0" applyNumberFormat="1" applyFont="1" applyBorder="1">
      <alignment vertical="center"/>
      <protection locked="1" hidden="1"/>
    </xf>
    <xf numFmtId="0" fontId="74" fillId="0" borderId="0" xfId="0" applyFont="1" applyAlignment="1">
      <alignment vertical="bottom"/>
      <protection locked="1" hidden="1"/>
    </xf>
    <xf numFmtId="3" fontId="75" fillId="0" borderId="0" xfId="0" applyNumberFormat="1" applyFont="1" applyBorder="1" applyAlignment="1">
      <alignment horizontal="left" vertical="center"/>
      <protection locked="1" hidden="1"/>
    </xf>
    <xf numFmtId="3" fontId="79" fillId="0" borderId="37" xfId="0" applyNumberFormat="1" applyFont="1" applyBorder="1">
      <alignment vertical="center"/>
      <protection locked="1" hidden="1"/>
    </xf>
    <xf numFmtId="1" fontId="10" fillId="0" borderId="37" xfId="0" applyNumberFormat="1" applyBorder="1" applyAlignment="1">
      <alignment vertical="bottom"/>
      <protection locked="1" hidden="1"/>
    </xf>
    <xf numFmtId="3" fontId="83" fillId="0" borderId="0" xfId="0" applyNumberFormat="1" applyFont="1" applyBorder="1">
      <alignment vertical="center"/>
      <protection locked="1" hidden="1"/>
    </xf>
    <xf numFmtId="3" fontId="78" fillId="0" borderId="16" xfId="0" applyNumberFormat="1" applyFont="1" applyBorder="1">
      <alignment vertical="center"/>
      <protection locked="1" hidden="1"/>
    </xf>
    <xf numFmtId="3" fontId="78" fillId="0" borderId="0" xfId="0" applyNumberFormat="1" applyFont="1" applyBorder="1">
      <alignment vertical="center"/>
      <protection locked="1" hidden="1"/>
    </xf>
    <xf numFmtId="3" fontId="82" fillId="0" borderId="16" xfId="0" applyNumberFormat="1" applyFont="1" applyBorder="1" applyAlignment="1">
      <alignment horizontal="right" vertical="center"/>
      <protection locked="1" hidden="1"/>
    </xf>
    <xf numFmtId="3" fontId="82" fillId="0" borderId="0" xfId="0" applyNumberFormat="1" applyFont="1" applyBorder="1">
      <alignment vertical="center"/>
      <protection locked="1" hidden="1"/>
    </xf>
    <xf numFmtId="3" fontId="83" fillId="0" borderId="44" xfId="0" applyNumberFormat="1" applyFont="1" applyBorder="1">
      <alignment vertical="center"/>
      <protection locked="1" hidden="1"/>
    </xf>
    <xf numFmtId="165" fontId="75" fillId="0" borderId="67" xfId="0" applyNumberFormat="1" applyFont="1" applyBorder="1">
      <alignment vertical="center"/>
      <protection locked="1" hidden="1"/>
    </xf>
    <xf numFmtId="3" fontId="78" fillId="0" borderId="16" xfId="0" applyNumberFormat="1" applyFont="1" applyBorder="1">
      <alignment vertical="center"/>
      <protection locked="1" hidden="1"/>
    </xf>
    <xf numFmtId="3" fontId="78" fillId="0" borderId="0" xfId="0" applyNumberFormat="1" applyFont="1" applyBorder="1">
      <alignment vertical="center"/>
      <protection locked="1" hidden="1"/>
    </xf>
    <xf numFmtId="3" fontId="78" fillId="0" borderId="17" xfId="0" applyNumberFormat="1" applyFont="1" applyBorder="1">
      <alignment vertical="center"/>
      <protection locked="1" hidden="1"/>
    </xf>
    <xf numFmtId="3" fontId="83" fillId="0" borderId="9" xfId="0" applyNumberFormat="1" applyFont="1" applyBorder="1">
      <alignment vertical="center"/>
      <protection locked="1" hidden="1"/>
    </xf>
    <xf numFmtId="165" fontId="90" fillId="0" borderId="30" xfId="0" applyNumberFormat="1" applyFont="1" applyBorder="1" applyAlignment="1">
      <alignment vertical="bottom"/>
    </xf>
    <xf numFmtId="0" fontId="78" fillId="0" borderId="27" xfId="0" applyFont="1" applyBorder="1">
      <alignment vertical="center"/>
      <protection locked="1" hidden="1"/>
    </xf>
    <xf numFmtId="0" fontId="83" fillId="0" borderId="18" xfId="0" applyFont="1" applyBorder="1">
      <alignment vertical="center"/>
      <protection locked="1" hidden="1"/>
    </xf>
    <xf numFmtId="0" fontId="83" fillId="0" borderId="15" xfId="0" applyFont="1" applyBorder="1">
      <alignment vertical="center"/>
      <protection locked="1" hidden="1"/>
    </xf>
    <xf numFmtId="0" fontId="79" fillId="0" borderId="15" xfId="0" applyFont="1" applyBorder="1">
      <alignment vertical="center"/>
      <protection locked="1" hidden="1"/>
    </xf>
    <xf numFmtId="0" fontId="79" fillId="0" borderId="19" xfId="0" applyFont="1" applyBorder="1">
      <alignment vertical="center"/>
      <protection locked="1" hidden="1"/>
    </xf>
    <xf numFmtId="0" fontId="79" fillId="0" borderId="18" xfId="0" applyFont="1" applyBorder="1">
      <alignment vertical="center"/>
      <protection locked="1" hidden="1"/>
    </xf>
    <xf numFmtId="0" fontId="75" fillId="0" borderId="28" xfId="0" applyFont="1" applyBorder="1">
      <alignment vertical="center"/>
      <protection locked="1" hidden="1"/>
    </xf>
    <xf numFmtId="0" fontId="91" fillId="0" borderId="31" xfId="0" applyFont="1" applyBorder="1">
      <alignment vertical="center"/>
      <protection locked="1" hidden="1"/>
    </xf>
    <xf numFmtId="0" fontId="91" fillId="0" borderId="0" xfId="0" applyFont="1" applyBorder="1">
      <alignment vertical="center"/>
      <protection locked="1" hidden="1"/>
    </xf>
    <xf numFmtId="0" fontId="79" fillId="0" borderId="0" xfId="0" applyFont="1" applyBorder="1">
      <alignment vertical="center"/>
      <protection locked="1" hidden="1"/>
    </xf>
    <xf numFmtId="0" fontId="79" fillId="0" borderId="38" xfId="0" applyFont="1" applyBorder="1">
      <alignment vertical="center"/>
      <protection locked="1" hidden="1"/>
    </xf>
    <xf numFmtId="0" fontId="91" fillId="0" borderId="50" xfId="0" applyFont="1" applyBorder="1">
      <alignment vertical="center"/>
      <protection locked="1" hidden="1"/>
    </xf>
    <xf numFmtId="0" fontId="91" fillId="0" borderId="51" xfId="0" applyFont="1" applyBorder="1">
      <alignment vertical="center"/>
      <protection locked="1" hidden="1"/>
    </xf>
    <xf numFmtId="0" fontId="79" fillId="0" borderId="51" xfId="0" applyFont="1" applyBorder="1">
      <alignment vertical="center"/>
      <protection locked="1" hidden="1"/>
    </xf>
    <xf numFmtId="0" fontId="79" fillId="0" borderId="52" xfId="0" applyFont="1" applyBorder="1">
      <alignment vertical="center"/>
      <protection locked="1" hidden="1"/>
    </xf>
    <xf numFmtId="0" fontId="77" fillId="0" borderId="0" xfId="0" applyFont="1" applyBorder="1" applyAlignment="1">
      <alignment horizontal="left" vertical="bottom"/>
      <protection locked="1" hidden="1"/>
    </xf>
    <xf numFmtId="0" fontId="91" fillId="0" borderId="0" xfId="0" applyFont="1" applyBorder="1" applyAlignment="1">
      <alignment horizontal="center" vertical="bottom"/>
      <protection locked="1" hidden="1"/>
    </xf>
    <xf numFmtId="0" fontId="78" fillId="0" borderId="68" xfId="0" applyFont="1" applyFill="1" applyBorder="1" applyAlignment="1">
      <alignment horizontal="right" vertical="bottom"/>
      <protection locked="1" hidden="1"/>
    </xf>
    <xf numFmtId="0" fontId="78" fillId="0" borderId="25" xfId="0" applyFont="1" applyFill="1" applyBorder="1" applyAlignment="1">
      <alignment horizontal="left" vertical="bottom"/>
      <protection locked="1" hidden="1"/>
    </xf>
    <xf numFmtId="0" fontId="70" fillId="0" borderId="25" xfId="0" applyFont="1" applyFill="1" applyBorder="1" applyAlignment="1">
      <alignment horizontal="center" vertical="bottom"/>
      <protection locked="1" hidden="1"/>
    </xf>
    <xf numFmtId="0" fontId="79" fillId="0" borderId="69" xfId="0" applyFont="1" applyFill="1" applyBorder="1" applyAlignment="1">
      <alignment horizontal="center" vertical="center"/>
      <protection locked="1" hidden="1"/>
    </xf>
    <xf numFmtId="0" fontId="79" fillId="0" borderId="25" xfId="0" applyFont="1" applyFill="1" applyBorder="1" applyAlignment="1">
      <alignment vertical="bottom"/>
      <protection locked="1" hidden="1"/>
    </xf>
    <xf numFmtId="165" fontId="79" fillId="0" borderId="26" xfId="0" applyNumberFormat="1" applyFont="1" applyFill="1" applyBorder="1" applyAlignment="1">
      <alignment vertical="bottom"/>
      <protection locked="1" hidden="1"/>
    </xf>
    <xf numFmtId="0" fontId="78" fillId="0" borderId="70" xfId="0" applyFont="1" applyFill="1" applyBorder="1" applyAlignment="1">
      <alignment horizontal="center" vertical="bottom"/>
      <protection locked="1" hidden="1"/>
    </xf>
    <xf numFmtId="0" fontId="78" fillId="0" borderId="0" xfId="0" applyFont="1" applyFill="1" applyBorder="1" applyAlignment="1">
      <alignment horizontal="left" vertical="top"/>
      <protection locked="1" hidden="1"/>
    </xf>
    <xf numFmtId="0" fontId="70" fillId="0" borderId="0" xfId="0" applyFont="1" applyFill="1" applyBorder="1" applyAlignment="1">
      <alignment horizontal="center" vertical="top"/>
      <protection locked="1" hidden="1"/>
    </xf>
    <xf numFmtId="0" fontId="70" fillId="0" borderId="71" xfId="0" applyFont="1" applyFill="1" applyBorder="1" applyAlignment="1">
      <alignment horizontal="center" vertical="top"/>
      <protection locked="1" hidden="1"/>
    </xf>
    <xf numFmtId="0" fontId="79" fillId="0" borderId="0" xfId="0" applyFont="1" applyFill="1" applyBorder="1" applyAlignment="1">
      <alignment vertical="bottom"/>
      <protection locked="1" hidden="1"/>
    </xf>
    <xf numFmtId="165" fontId="79" fillId="0" borderId="38" xfId="0" applyNumberFormat="1" applyFont="1" applyFill="1" applyBorder="1" applyAlignment="1">
      <alignment vertical="bottom"/>
      <protection locked="1" hidden="1"/>
    </xf>
    <xf numFmtId="0" fontId="77" fillId="0" borderId="70" xfId="0" applyFont="1" applyFill="1" applyBorder="1" applyAlignment="1">
      <alignment vertical="bottom"/>
      <protection locked="1" hidden="1"/>
    </xf>
    <xf numFmtId="0" fontId="79" fillId="0" borderId="16" xfId="0" applyFont="1" applyFill="1" applyBorder="1" applyAlignment="1">
      <alignment vertical="bottom"/>
      <protection locked="1" hidden="1"/>
    </xf>
    <xf numFmtId="0" fontId="79" fillId="0" borderId="0" xfId="0" applyFont="1" applyFill="1" applyBorder="1" applyAlignment="1">
      <alignment vertical="bottom"/>
      <protection locked="1" hidden="1"/>
    </xf>
    <xf numFmtId="0" fontId="70" fillId="0" borderId="40" xfId="0" applyFont="1" applyFill="1" applyBorder="1" applyAlignment="1">
      <alignment vertical="bottom"/>
      <protection locked="1" hidden="1"/>
    </xf>
    <xf numFmtId="165" fontId="70" fillId="0" borderId="40" xfId="0" applyNumberFormat="1" applyFont="1" applyFill="1" applyBorder="1" applyAlignment="1">
      <alignment vertical="bottom"/>
      <protection locked="1" hidden="1"/>
    </xf>
    <xf numFmtId="165" fontId="70" fillId="0" borderId="72" xfId="0" applyNumberFormat="1" applyFont="1" applyFill="1" applyBorder="1" applyAlignment="1">
      <alignment vertical="bottom"/>
      <protection locked="1" hidden="1"/>
    </xf>
    <xf numFmtId="165" fontId="70" fillId="0" borderId="73" xfId="0" applyNumberFormat="1" applyFont="1" applyFill="1" applyBorder="1" applyAlignment="1">
      <alignment vertical="bottom"/>
      <protection locked="1" hidden="1"/>
    </xf>
    <xf numFmtId="0" fontId="79" fillId="0" borderId="0" xfId="0" applyFont="1" applyFill="1" applyAlignment="1">
      <alignment vertical="bottom"/>
      <protection locked="1" hidden="1"/>
    </xf>
    <xf numFmtId="0" fontId="79" fillId="0" borderId="16" xfId="0" applyFont="1" applyFill="1" applyBorder="1" applyAlignment="1">
      <alignment vertical="bottom"/>
      <protection locked="1" hidden="1"/>
    </xf>
    <xf numFmtId="0" fontId="79" fillId="0" borderId="0" xfId="0" applyFont="1" applyFill="1" applyAlignment="1">
      <alignment vertical="bottom"/>
      <protection locked="1" hidden="1"/>
    </xf>
    <xf numFmtId="0" fontId="79" fillId="0" borderId="16" xfId="0" applyFont="1" applyFill="1" applyBorder="1" applyAlignment="1">
      <alignment vertical="bottom"/>
      <protection locked="1" hidden="1"/>
    </xf>
    <xf numFmtId="0" fontId="79" fillId="0" borderId="0" xfId="0" applyFont="1" applyFill="1" applyAlignment="1">
      <alignment vertical="bottom"/>
      <protection locked="1" hidden="1"/>
    </xf>
    <xf numFmtId="0" fontId="79" fillId="0" borderId="16" xfId="0" applyFont="1" applyFill="1" applyBorder="1" applyAlignment="1">
      <alignment horizontal="left" vertical="bottom"/>
      <protection locked="1" hidden="1"/>
    </xf>
    <xf numFmtId="0" fontId="10" fillId="0" borderId="0" xfId="0" applyAlignment="1">
      <alignment horizontal="left" vertical="bottom"/>
    </xf>
    <xf numFmtId="0" fontId="79" fillId="0" borderId="0" xfId="0" applyFont="1" applyFill="1" applyBorder="1" applyAlignment="1">
      <alignment vertical="bottom"/>
      <protection locked="1" hidden="1"/>
    </xf>
    <xf numFmtId="0" fontId="78" fillId="0" borderId="0" xfId="0" applyFont="1" applyFill="1" applyBorder="1">
      <alignment vertical="center"/>
      <protection locked="1" hidden="1"/>
    </xf>
    <xf numFmtId="0" fontId="78" fillId="0" borderId="74" xfId="0" applyFont="1" applyFill="1" applyBorder="1">
      <alignment vertical="center"/>
      <protection locked="1" hidden="1"/>
    </xf>
    <xf numFmtId="0" fontId="78" fillId="0" borderId="75" xfId="0" applyFont="1" applyFill="1" applyBorder="1">
      <alignment vertical="center"/>
      <protection locked="1" hidden="1"/>
    </xf>
    <xf numFmtId="0" fontId="70" fillId="0" borderId="76" xfId="0" applyFont="1" applyFill="1" applyBorder="1">
      <alignment vertical="center"/>
      <protection locked="1" hidden="1"/>
    </xf>
    <xf numFmtId="165" fontId="75" fillId="0" borderId="66" xfId="0" applyNumberFormat="1" applyFont="1" applyFill="1" applyBorder="1">
      <alignment vertical="center"/>
      <protection locked="1" hidden="1"/>
    </xf>
    <xf numFmtId="0" fontId="78" fillId="0" borderId="75" xfId="0" applyFont="1" applyFill="1" applyBorder="1" applyAlignment="1">
      <alignment horizontal="left" vertical="bottom"/>
      <protection locked="1" hidden="1"/>
    </xf>
    <xf numFmtId="0" fontId="79" fillId="0" borderId="75" xfId="0" applyFont="1" applyFill="1" applyBorder="1" applyAlignment="1">
      <alignment vertical="bottom"/>
      <protection locked="1" hidden="1"/>
    </xf>
    <xf numFmtId="0" fontId="70" fillId="0" borderId="76" xfId="0" applyFont="1" applyFill="1" applyBorder="1" applyAlignment="1">
      <alignment vertical="bottom"/>
      <protection locked="1" hidden="1"/>
    </xf>
    <xf numFmtId="165" fontId="75" fillId="0" borderId="66" xfId="0" applyNumberFormat="1" applyFont="1" applyFill="1" applyBorder="1" applyAlignment="1">
      <alignment vertical="bottom"/>
      <protection locked="1" hidden="1"/>
    </xf>
    <xf numFmtId="0" fontId="79" fillId="0" borderId="74" xfId="0" applyFont="1" applyFill="1" applyBorder="1" applyAlignment="1">
      <alignment vertical="bottom"/>
      <protection locked="1" hidden="1"/>
    </xf>
    <xf numFmtId="0" fontId="70" fillId="0" borderId="0" xfId="0" applyFont="1" applyFill="1" applyBorder="1" applyAlignment="1">
      <alignment vertical="bottom"/>
      <protection locked="1" hidden="1"/>
    </xf>
    <xf numFmtId="165" fontId="70" fillId="0" borderId="38" xfId="0" applyNumberFormat="1" applyFont="1" applyFill="1" applyBorder="1" applyAlignment="1">
      <alignment vertical="bottom"/>
      <protection locked="1" hidden="1"/>
    </xf>
    <xf numFmtId="165" fontId="75" fillId="0" borderId="38" xfId="0" applyNumberFormat="1" applyFont="1" applyFill="1" applyBorder="1" applyAlignment="1">
      <alignment horizontal="right" vertical="bottom"/>
      <protection locked="1" hidden="1"/>
    </xf>
    <xf numFmtId="0" fontId="70" fillId="0" borderId="77" xfId="0" applyFont="1" applyFill="1" applyBorder="1" applyAlignment="1">
      <alignment vertical="bottom"/>
      <protection locked="1" hidden="1"/>
    </xf>
    <xf numFmtId="165" fontId="70" fillId="0" borderId="48" xfId="0" applyNumberFormat="1" applyFont="1" applyFill="1" applyBorder="1" applyAlignment="1">
      <alignment vertical="bottom"/>
      <protection locked="1" hidden="1"/>
    </xf>
    <xf numFmtId="0" fontId="78" fillId="0" borderId="0" xfId="0" applyFont="1" applyFill="1" applyBorder="1" applyAlignment="1">
      <alignment horizontal="left" vertical="bottom"/>
      <protection locked="1" hidden="1"/>
    </xf>
    <xf numFmtId="0" fontId="70" fillId="0" borderId="75" xfId="0" applyFont="1" applyBorder="1" applyAlignment="1">
      <alignment horizontal="left" vertical="bottom"/>
      <protection locked="1" hidden="1"/>
    </xf>
    <xf numFmtId="0" fontId="70" fillId="0" borderId="0" xfId="0" applyFont="1" applyFill="1" applyBorder="1" applyAlignment="1">
      <alignment horizontal="left" vertical="bottom"/>
      <protection locked="1" hidden="1"/>
    </xf>
    <xf numFmtId="0" fontId="70" fillId="0" borderId="78" xfId="0" applyFont="1" applyBorder="1" applyAlignment="1">
      <alignment vertical="bottom"/>
      <protection locked="1" hidden="1"/>
    </xf>
    <xf numFmtId="165" fontId="75" fillId="0" borderId="48" xfId="0" applyNumberFormat="1" applyFont="1" applyFill="1" applyBorder="1" applyAlignment="1">
      <alignment vertical="bottom"/>
      <protection locked="1" hidden="1"/>
    </xf>
    <xf numFmtId="0" fontId="75" fillId="0" borderId="0" xfId="0" applyFont="1" applyFill="1" applyBorder="1" applyAlignment="1">
      <alignment horizontal="left" vertical="bottom"/>
      <protection locked="1" hidden="1"/>
    </xf>
    <xf numFmtId="0" fontId="70" fillId="0" borderId="0" xfId="0" applyFont="1" applyFill="1" applyBorder="1" applyAlignment="1">
      <alignment vertical="bottom"/>
      <protection locked="1" hidden="1"/>
    </xf>
    <xf numFmtId="0" fontId="78" fillId="0" borderId="60" xfId="0" applyFont="1" applyFill="1" applyBorder="1" applyAlignment="1">
      <alignment horizontal="center" vertical="center"/>
      <protection locked="1" hidden="1"/>
    </xf>
    <xf numFmtId="0" fontId="78" fillId="0" borderId="0" xfId="0" applyFont="1" applyFill="1" applyBorder="1" applyAlignment="1">
      <alignment horizontal="left" vertical="center"/>
      <protection locked="1" hidden="1"/>
    </xf>
    <xf numFmtId="0" fontId="79" fillId="0" borderId="0" xfId="0" applyFont="1" applyFill="1" applyBorder="1" applyAlignment="1">
      <alignment horizontal="left" vertical="center"/>
      <protection locked="1" hidden="1"/>
    </xf>
    <xf numFmtId="0" fontId="79" fillId="0" borderId="0" xfId="0" applyFont="1" applyFill="1" applyBorder="1">
      <alignment vertical="center"/>
      <protection locked="1" hidden="1"/>
    </xf>
    <xf numFmtId="0" fontId="79" fillId="0" borderId="74" xfId="0" applyFont="1" applyFill="1" applyBorder="1">
      <alignment vertical="center"/>
      <protection locked="1" hidden="1"/>
    </xf>
    <xf numFmtId="0" fontId="79" fillId="0" borderId="75" xfId="0" applyFont="1" applyFill="1" applyBorder="1">
      <alignment vertical="center"/>
      <protection locked="1" hidden="1"/>
    </xf>
    <xf numFmtId="0" fontId="70" fillId="0" borderId="0" xfId="0" applyFont="1" applyFill="1" applyBorder="1">
      <alignment vertical="center"/>
      <protection locked="1" hidden="1"/>
    </xf>
    <xf numFmtId="0" fontId="79" fillId="0" borderId="79" xfId="0" applyFont="1" applyFill="1" applyBorder="1" applyAlignment="1">
      <alignment vertical="bottom"/>
      <protection locked="1" hidden="1"/>
    </xf>
    <xf numFmtId="0" fontId="79" fillId="0" borderId="14" xfId="0" applyFont="1" applyFill="1" applyBorder="1" applyAlignment="1">
      <alignment vertical="bottom"/>
      <protection locked="1" hidden="1"/>
    </xf>
    <xf numFmtId="0" fontId="79" fillId="0" borderId="80" xfId="0" applyFont="1" applyFill="1" applyBorder="1" applyAlignment="1">
      <alignment vertical="bottom"/>
      <protection locked="1" hidden="1"/>
    </xf>
    <xf numFmtId="0" fontId="79" fillId="0" borderId="81" xfId="0" applyFont="1" applyFill="1" applyBorder="1" applyAlignment="1">
      <alignment vertical="bottom"/>
      <protection locked="1" hidden="1"/>
    </xf>
    <xf numFmtId="0" fontId="79" fillId="0" borderId="66" xfId="0" applyFont="1" applyFill="1" applyBorder="1" applyAlignment="1">
      <alignment vertical="bottom"/>
      <protection locked="1" hidden="1"/>
    </xf>
    <xf numFmtId="0" fontId="79" fillId="0" borderId="31" xfId="0" applyFont="1" applyFill="1" applyBorder="1" applyAlignment="1">
      <alignment vertical="bottom"/>
      <protection locked="1" hidden="1"/>
    </xf>
    <xf numFmtId="0" fontId="79" fillId="0" borderId="38" xfId="0" applyFont="1" applyFill="1" applyBorder="1" applyAlignment="1">
      <alignment vertical="bottom"/>
      <protection locked="1" hidden="1"/>
    </xf>
    <xf numFmtId="0" fontId="78" fillId="0" borderId="31" xfId="0" applyFont="1" applyFill="1" applyBorder="1" applyAlignment="1">
      <alignment horizontal="center" vertical="bottom" shrinkToFit="1"/>
      <protection locked="1" hidden="1"/>
    </xf>
    <xf numFmtId="0" fontId="78" fillId="0" borderId="0" xfId="0" applyFont="1" applyFill="1" applyBorder="1" applyAlignment="1">
      <alignment horizontal="center" vertical="bottom" shrinkToFit="1"/>
      <protection locked="1" hidden="1"/>
    </xf>
    <xf numFmtId="0" fontId="78" fillId="0" borderId="38" xfId="0" applyFont="1" applyFill="1" applyBorder="1" applyAlignment="1">
      <alignment horizontal="center" vertical="bottom" shrinkToFit="1"/>
      <protection locked="1" hidden="1"/>
    </xf>
    <xf numFmtId="0" fontId="70" fillId="0" borderId="31" xfId="0" applyFont="1" applyFill="1" applyBorder="1" applyAlignment="1">
      <alignment horizontal="center" vertical="bottom"/>
      <protection locked="1" hidden="1"/>
    </xf>
    <xf numFmtId="0" fontId="70" fillId="0" borderId="0" xfId="0" applyFont="1" applyFill="1" applyBorder="1" applyAlignment="1">
      <alignment horizontal="center" vertical="bottom"/>
      <protection locked="1" hidden="1"/>
    </xf>
    <xf numFmtId="0" fontId="70" fillId="0" borderId="38" xfId="0" applyFont="1" applyFill="1" applyBorder="1" applyAlignment="1">
      <alignment horizontal="center" vertical="bottom"/>
      <protection locked="1" hidden="1"/>
    </xf>
    <xf numFmtId="0" fontId="79" fillId="0" borderId="82" xfId="0" applyFont="1" applyFill="1" applyBorder="1" applyAlignment="1">
      <alignment horizontal="center" vertical="bottom"/>
      <protection locked="1" hidden="1"/>
    </xf>
    <xf numFmtId="0" fontId="79" fillId="0" borderId="9" xfId="0" applyFont="1" applyFill="1" applyBorder="1" applyAlignment="1">
      <alignment horizontal="center" vertical="bottom"/>
      <protection locked="1" hidden="1"/>
    </xf>
    <xf numFmtId="0" fontId="79" fillId="0" borderId="22" xfId="0" applyFont="1" applyFill="1" applyBorder="1" applyAlignment="1">
      <alignment horizontal="center" vertical="bottom"/>
      <protection locked="1" hidden="1"/>
    </xf>
    <xf numFmtId="0" fontId="79" fillId="0" borderId="9" xfId="0" applyFont="1" applyFill="1" applyBorder="1" applyAlignment="1">
      <alignment vertical="bottom"/>
      <protection locked="1" hidden="1"/>
    </xf>
    <xf numFmtId="0" fontId="79" fillId="0" borderId="9" xfId="0" applyFont="1" applyFill="1" applyBorder="1" applyAlignment="1">
      <alignment horizontal="center" vertical="bottom"/>
      <protection locked="1" hidden="1"/>
    </xf>
    <xf numFmtId="0" fontId="79" fillId="0" borderId="10" xfId="0" applyFont="1" applyFill="1" applyBorder="1" applyAlignment="1">
      <alignment horizontal="center" vertical="bottom"/>
      <protection locked="1" hidden="1"/>
    </xf>
    <xf numFmtId="0" fontId="79" fillId="0" borderId="10" xfId="0" applyFont="1" applyFill="1" applyBorder="1" applyAlignment="1">
      <alignment horizontal="center" vertical="bottom"/>
      <protection locked="1" hidden="1"/>
    </xf>
    <xf numFmtId="0" fontId="79" fillId="0" borderId="30" xfId="0" applyFont="1" applyFill="1" applyBorder="1" applyAlignment="1">
      <alignment horizontal="center" vertical="bottom"/>
      <protection locked="1" hidden="1"/>
    </xf>
    <xf numFmtId="0" fontId="79" fillId="0" borderId="70" xfId="0" applyFont="1" applyFill="1" applyBorder="1" applyAlignment="1">
      <alignment horizontal="center" vertical="bottom"/>
      <protection locked="1" hidden="1"/>
    </xf>
    <xf numFmtId="0" fontId="79" fillId="0" borderId="16" xfId="0" applyFont="1" applyFill="1" applyBorder="1" applyAlignment="1">
      <alignment horizontal="center" vertical="bottom"/>
      <protection locked="1" hidden="1"/>
    </xf>
    <xf numFmtId="0" fontId="79" fillId="0" borderId="16" xfId="0" applyFont="1" applyFill="1" applyBorder="1" applyAlignment="1">
      <alignment horizontal="center" vertical="bottom"/>
      <protection locked="1" hidden="1"/>
    </xf>
    <xf numFmtId="0" fontId="79" fillId="0" borderId="17" xfId="0" applyFont="1" applyFill="1" applyBorder="1" applyAlignment="1">
      <alignment horizontal="center" vertical="bottom"/>
      <protection locked="1" hidden="1"/>
    </xf>
    <xf numFmtId="0" fontId="79" fillId="0" borderId="38" xfId="0" applyFont="1" applyFill="1" applyBorder="1" applyAlignment="1">
      <alignment horizontal="center" vertical="bottom"/>
      <protection locked="1" hidden="1"/>
    </xf>
    <xf numFmtId="0" fontId="79" fillId="0" borderId="60" xfId="0" applyFont="1" applyFill="1" applyBorder="1" applyAlignment="1">
      <alignment vertical="bottom"/>
      <protection locked="1" hidden="1"/>
    </xf>
    <xf numFmtId="0" fontId="79" fillId="0" borderId="18" xfId="0" applyFont="1" applyFill="1" applyBorder="1" applyAlignment="1">
      <alignment horizontal="center" vertical="bottom"/>
      <protection locked="1" hidden="1"/>
    </xf>
    <xf numFmtId="0" fontId="79" fillId="0" borderId="15" xfId="0" applyFont="1" applyFill="1" applyBorder="1" applyAlignment="1">
      <alignment horizontal="center" vertical="bottom"/>
      <protection locked="1" hidden="1"/>
    </xf>
    <xf numFmtId="0" fontId="79" fillId="0" borderId="18" xfId="0" applyFont="1" applyFill="1" applyBorder="1" applyAlignment="1">
      <alignment horizontal="center" vertical="bottom"/>
      <protection locked="1" hidden="1"/>
    </xf>
    <xf numFmtId="0" fontId="79" fillId="0" borderId="19" xfId="0" applyFont="1" applyFill="1" applyBorder="1" applyAlignment="1">
      <alignment horizontal="center" vertical="bottom"/>
      <protection locked="1" hidden="1"/>
    </xf>
    <xf numFmtId="0" fontId="79" fillId="0" borderId="19" xfId="0" applyFont="1" applyFill="1" applyBorder="1" applyAlignment="1">
      <alignment horizontal="center" vertical="bottom"/>
      <protection locked="1" hidden="1"/>
    </xf>
    <xf numFmtId="0" fontId="79" fillId="0" borderId="28" xfId="0" applyFont="1" applyFill="1" applyBorder="1" applyAlignment="1">
      <alignment horizontal="center" vertical="bottom"/>
      <protection locked="1" hidden="1"/>
    </xf>
    <xf numFmtId="0" fontId="79" fillId="0" borderId="60" xfId="0" applyFont="1" applyFill="1" applyBorder="1" applyAlignment="1">
      <alignment horizontal="center" vertical="bottom"/>
      <protection locked="1" hidden="1"/>
    </xf>
    <xf numFmtId="0" fontId="79" fillId="0" borderId="18" xfId="0" applyFont="1" applyFill="1" applyBorder="1" applyAlignment="1">
      <alignment horizontal="center" vertical="bottom"/>
      <protection locked="0" hidden="0"/>
    </xf>
    <xf numFmtId="0" fontId="79" fillId="0" borderId="15" xfId="0" applyFont="1" applyFill="1" applyBorder="1" applyAlignment="1">
      <alignment horizontal="center" vertical="bottom"/>
      <protection locked="0" hidden="0"/>
    </xf>
    <xf numFmtId="0" fontId="79" fillId="0" borderId="19" xfId="0" applyFont="1" applyFill="1" applyBorder="1" applyAlignment="1">
      <alignment horizontal="center" vertical="bottom"/>
      <protection locked="0" hidden="0"/>
    </xf>
    <xf numFmtId="0" fontId="79" fillId="0" borderId="28" xfId="0" applyFont="1" applyFill="1" applyBorder="1" applyAlignment="1">
      <alignment horizontal="center" vertical="bottom"/>
      <protection locked="0" hidden="0"/>
    </xf>
    <xf numFmtId="0" fontId="79" fillId="0" borderId="8" xfId="0" applyFont="1" applyFill="1" applyBorder="1" applyAlignment="1">
      <alignment horizontal="center" vertical="bottom"/>
      <protection locked="0" hidden="0"/>
    </xf>
    <xf numFmtId="0" fontId="79" fillId="0" borderId="14" xfId="0" applyFont="1" applyFill="1" applyBorder="1" applyAlignment="1">
      <alignment horizontal="center" vertical="bottom"/>
      <protection locked="0" hidden="0"/>
    </xf>
    <xf numFmtId="0" fontId="79" fillId="0" borderId="8" xfId="0" applyFont="1" applyFill="1" applyBorder="1" applyAlignment="1">
      <alignment horizontal="center" vertical="bottom"/>
      <protection locked="0" hidden="0"/>
    </xf>
    <xf numFmtId="0" fontId="79" fillId="0" borderId="20" xfId="0" applyFont="1" applyFill="1" applyBorder="1" applyAlignment="1">
      <alignment horizontal="center" vertical="bottom"/>
      <protection locked="0" hidden="0"/>
    </xf>
    <xf numFmtId="0" fontId="79" fillId="0" borderId="11" xfId="0" applyFont="1" applyFill="1" applyBorder="1" applyAlignment="1">
      <alignment horizontal="center" vertical="bottom"/>
      <protection locked="0" hidden="0"/>
    </xf>
    <xf numFmtId="0" fontId="79" fillId="0" borderId="11" xfId="0" applyFont="1" applyFill="1" applyBorder="1" applyAlignment="1">
      <alignment horizontal="center" vertical="bottom"/>
      <protection locked="0" hidden="0"/>
    </xf>
    <xf numFmtId="0" fontId="79" fillId="0" borderId="66" xfId="0" applyFont="1" applyFill="1" applyBorder="1" applyAlignment="1">
      <alignment horizontal="center" vertical="bottom"/>
      <protection locked="0" hidden="0"/>
    </xf>
    <xf numFmtId="0" fontId="79" fillId="0" borderId="14" xfId="0" applyFont="1" applyFill="1" applyBorder="1" applyAlignment="1">
      <alignment horizontal="center" vertical="bottom"/>
      <protection locked="0" hidden="0"/>
    </xf>
    <xf numFmtId="0" fontId="79" fillId="0" borderId="66" xfId="0" applyFont="1" applyFill="1" applyBorder="1" applyAlignment="1">
      <alignment horizontal="center" vertical="bottom"/>
      <protection locked="0" hidden="0"/>
    </xf>
    <xf numFmtId="0" fontId="79" fillId="0" borderId="7" xfId="0" applyFont="1" applyFill="1" applyBorder="1" applyAlignment="1">
      <alignment horizontal="center" vertical="bottom"/>
      <protection locked="0" hidden="0"/>
    </xf>
    <xf numFmtId="0" fontId="92" fillId="0" borderId="31" xfId="0" applyFont="1" applyFill="1" applyBorder="1" applyAlignment="1">
      <alignment horizontal="left" vertical="justify" wrapText="1"/>
      <protection locked="1" hidden="1"/>
    </xf>
    <xf numFmtId="0" fontId="92" fillId="0" borderId="0" xfId="0" applyFont="1" applyFill="1" applyBorder="1" applyAlignment="1">
      <alignment horizontal="left" vertical="justify" wrapText="1"/>
      <protection locked="1" hidden="1"/>
    </xf>
    <xf numFmtId="0" fontId="92" fillId="0" borderId="38" xfId="0" applyFont="1" applyFill="1" applyBorder="1" applyAlignment="1">
      <alignment horizontal="left" vertical="justify" wrapText="1"/>
      <protection locked="1" hidden="1"/>
    </xf>
    <xf numFmtId="0" fontId="93" fillId="0" borderId="31" xfId="0" applyFont="1" applyFill="1" applyBorder="1" applyAlignment="1">
      <alignment vertical="top" wrapText="1"/>
      <protection locked="1" hidden="1"/>
    </xf>
    <xf numFmtId="0" fontId="93" fillId="0" borderId="0" xfId="0" applyFont="1" applyFill="1" applyBorder="1" applyAlignment="1">
      <alignment vertical="top" wrapText="1"/>
      <protection locked="1" hidden="1"/>
    </xf>
    <xf numFmtId="0" fontId="93" fillId="0" borderId="38" xfId="0" applyFont="1" applyFill="1" applyBorder="1" applyAlignment="1">
      <alignment vertical="top" wrapText="1"/>
      <protection locked="1" hidden="1"/>
    </xf>
    <xf numFmtId="0" fontId="70" fillId="0" borderId="31" xfId="0" applyFont="1" applyFill="1" applyBorder="1" applyAlignment="1">
      <alignment vertical="bottom"/>
      <protection locked="1" hidden="1"/>
    </xf>
    <xf numFmtId="0" fontId="70" fillId="0" borderId="38" xfId="0" applyFont="1" applyFill="1" applyBorder="1" applyAlignment="1">
      <alignment vertical="bottom"/>
      <protection locked="1" hidden="1"/>
    </xf>
    <xf numFmtId="0" fontId="70" fillId="0" borderId="31" xfId="0" applyFont="1" applyFill="1" applyBorder="1" applyAlignment="1">
      <alignment horizontal="left" vertical="bottom"/>
      <protection locked="1" hidden="1"/>
    </xf>
    <xf numFmtId="0" fontId="70" fillId="0" borderId="0" xfId="0" applyFont="1" applyFill="1" applyBorder="1" applyAlignment="1">
      <alignment vertical="bottom"/>
      <protection locked="1" hidden="1"/>
    </xf>
    <xf numFmtId="0" fontId="70" fillId="0" borderId="38" xfId="0" applyFont="1" applyFill="1" applyBorder="1" applyAlignment="1">
      <alignment vertical="bottom"/>
      <protection locked="1" hidden="1"/>
    </xf>
    <xf numFmtId="0" fontId="70" fillId="0" borderId="0" xfId="0" applyNumberFormat="1" applyFont="1" applyFill="1" applyBorder="1" applyAlignment="1">
      <alignment horizontal="left" vertical="bottom"/>
      <protection locked="1" hidden="1"/>
    </xf>
    <xf numFmtId="0" fontId="70" fillId="0" borderId="38" xfId="0" applyFont="1" applyFill="1" applyBorder="1" applyAlignment="1">
      <alignment horizontal="left" vertical="bottom"/>
      <protection locked="1" hidden="1"/>
    </xf>
    <xf numFmtId="49" fontId="70" fillId="0" borderId="0" xfId="0" applyNumberFormat="1" applyFont="1" applyFill="1" applyBorder="1" applyAlignment="1">
      <alignment horizontal="left" vertical="bottom"/>
      <protection locked="1" hidden="1"/>
    </xf>
    <xf numFmtId="0" fontId="79" fillId="0" borderId="0" xfId="0" applyNumberFormat="1" applyFont="1" applyFill="1" applyBorder="1" applyAlignment="1">
      <alignment horizontal="left" vertical="bottom"/>
      <protection locked="1" hidden="1"/>
    </xf>
    <xf numFmtId="0" fontId="79" fillId="0" borderId="50" xfId="0" applyFont="1" applyFill="1" applyBorder="1" applyAlignment="1">
      <alignment vertical="bottom"/>
    </xf>
    <xf numFmtId="0" fontId="79" fillId="0" borderId="51" xfId="0" applyFont="1" applyFill="1" applyBorder="1" applyAlignment="1">
      <alignment vertical="bottom"/>
    </xf>
    <xf numFmtId="0" fontId="79" fillId="0" borderId="52" xfId="0" applyFont="1" applyFill="1" applyBorder="1" applyAlignment="1">
      <alignment vertical="bottom"/>
    </xf>
    <xf numFmtId="0" fontId="84" fillId="0" borderId="0" xfId="0" applyFont="1" applyAlignment="1">
      <alignment vertical="bottom"/>
    </xf>
    <xf numFmtId="0" fontId="94" fillId="0" borderId="0" xfId="0" applyFont="1" applyFill="1" applyAlignment="1">
      <alignment horizontal="center" vertical="top"/>
    </xf>
    <xf numFmtId="0" fontId="95" fillId="0" borderId="0" xfId="0" applyFont="1" applyFill="1" applyAlignment="1">
      <alignment horizontal="center" vertical="top"/>
    </xf>
    <xf numFmtId="0" fontId="96" fillId="0" borderId="0" xfId="0" applyFont="1" applyFill="1" applyAlignment="1">
      <alignment horizontal="center" vertical="top"/>
    </xf>
    <xf numFmtId="0" fontId="10" fillId="0" borderId="0" xfId="0" applyFill="1" applyAlignment="1">
      <alignment vertical="top"/>
    </xf>
    <xf numFmtId="0" fontId="96" fillId="0" borderId="0" xfId="0" applyFont="1" applyFill="1" applyAlignment="1">
      <alignment horizontal="center" vertical="top"/>
    </xf>
    <xf numFmtId="0" fontId="96" fillId="15" borderId="83" xfId="0" applyFont="1" applyFill="1" applyBorder="1" applyAlignment="1">
      <alignment horizontal="center" vertical="top"/>
      <protection locked="0" hidden="0"/>
    </xf>
    <xf numFmtId="0" fontId="96" fillId="0" borderId="0" xfId="0" applyFont="1" applyFill="1" applyAlignment="1">
      <alignment horizontal="right" vertical="top"/>
    </xf>
    <xf numFmtId="0" fontId="97" fillId="0" borderId="0" xfId="0" applyFont="1" applyFill="1" applyAlignment="1">
      <alignment horizontal="center" vertical="top"/>
    </xf>
    <xf numFmtId="0" fontId="95" fillId="0" borderId="0" xfId="0" applyFont="1" applyFill="1" applyAlignment="1">
      <alignment vertical="top"/>
    </xf>
    <xf numFmtId="0" fontId="98" fillId="15" borderId="83" xfId="0" applyFont="1" applyFill="1" applyBorder="1" applyAlignment="1">
      <alignment vertical="top" wrapText="1"/>
      <protection locked="0" hidden="0"/>
    </xf>
    <xf numFmtId="0" fontId="10" fillId="0" borderId="0" xfId="0" applyFill="1" applyBorder="1" applyAlignment="1">
      <alignment vertical="top"/>
    </xf>
    <xf numFmtId="0" fontId="98" fillId="15" borderId="83" xfId="0" applyFont="1" applyFill="1" applyBorder="1" applyAlignment="1">
      <alignment vertical="top"/>
      <protection locked="0" hidden="0"/>
    </xf>
    <xf numFmtId="0" fontId="99" fillId="0" borderId="0" xfId="0" applyFont="1" applyFill="1" applyAlignment="1">
      <alignment vertical="top"/>
    </xf>
    <xf numFmtId="0" fontId="100" fillId="15" borderId="83" xfId="0" applyFont="1" applyFill="1" applyBorder="1" applyAlignment="1">
      <alignment vertical="top"/>
      <protection locked="0" hidden="0"/>
    </xf>
    <xf numFmtId="0" fontId="95" fillId="0" borderId="0" xfId="0" applyFont="1" applyFill="1" applyAlignment="1">
      <alignment horizontal="justify" vertical="top"/>
    </xf>
    <xf numFmtId="0" fontId="98" fillId="0" borderId="0" xfId="0" applyFont="1" applyFill="1" applyAlignment="1">
      <alignment vertical="top"/>
    </xf>
    <xf numFmtId="0" fontId="98" fillId="15" borderId="83" xfId="0" applyFont="1" applyFill="1" applyBorder="1" applyAlignment="1">
      <alignment horizontal="left" vertical="top"/>
      <protection locked="0" hidden="0"/>
    </xf>
    <xf numFmtId="0" fontId="95" fillId="0" borderId="0" xfId="0" applyFont="1" applyFill="1" applyAlignment="1">
      <alignment horizontal="justify" vertical="top" wrapText="1"/>
    </xf>
    <xf numFmtId="0" fontId="101" fillId="0" borderId="0" xfId="0" applyFont="1" applyFill="1" applyAlignment="1">
      <alignment horizontal="center" vertical="top"/>
    </xf>
    <xf numFmtId="0" fontId="98" fillId="0" borderId="83" xfId="0" applyFont="1" applyFill="1" applyBorder="1" applyAlignment="1">
      <alignment vertical="top"/>
    </xf>
    <xf numFmtId="0" fontId="95" fillId="0" borderId="0" xfId="0" applyFont="1" applyFill="1" applyAlignment="1">
      <alignment horizontal="right" vertical="top"/>
    </xf>
    <xf numFmtId="0" fontId="102" fillId="0" borderId="0" xfId="0" applyFont="1" applyFill="1" applyAlignment="1">
      <alignment vertical="top"/>
    </xf>
    <xf numFmtId="171" fontId="103" fillId="15" borderId="83" xfId="0" applyNumberFormat="1" applyFont="1" applyFill="1" applyBorder="1" applyAlignment="1">
      <alignment vertical="top"/>
      <protection locked="0" hidden="0"/>
    </xf>
    <xf numFmtId="14" fontId="103" fillId="15" borderId="83" xfId="0" applyNumberFormat="1" applyFont="1" applyFill="1" applyBorder="1" applyAlignment="1">
      <alignment horizontal="left" vertical="top"/>
      <protection locked="0" hidden="0"/>
    </xf>
    <xf numFmtId="0" fontId="103" fillId="15" borderId="83" xfId="0" applyFont="1" applyFill="1" applyBorder="1" applyAlignment="1">
      <alignment horizontal="left" vertical="top"/>
      <protection locked="0" hidden="0"/>
    </xf>
    <xf numFmtId="0" fontId="104" fillId="0" borderId="0" xfId="0" applyFont="1" applyFill="1" applyAlignment="1">
      <alignment vertical="top"/>
    </xf>
    <xf numFmtId="0" fontId="105" fillId="15" borderId="83" xfId="0" applyFont="1" applyFill="1" applyBorder="1" applyAlignment="1">
      <alignment vertical="top"/>
      <protection locked="0" hidden="0"/>
    </xf>
    <xf numFmtId="14" fontId="105" fillId="15" borderId="83" xfId="0" applyNumberFormat="1" applyFont="1" applyFill="1" applyBorder="1" applyAlignment="1">
      <alignment vertical="top"/>
      <protection locked="0" hidden="0"/>
    </xf>
    <xf numFmtId="0" fontId="106" fillId="0" borderId="0" xfId="0" applyFont="1" applyFill="1" applyAlignment="1">
      <alignment horizontal="center" vertical="top"/>
    </xf>
    <xf numFmtId="0" fontId="107" fillId="0" borderId="0" xfId="0" applyFont="1" applyFill="1" applyAlignment="1">
      <alignment horizontal="center" vertical="top"/>
    </xf>
    <xf numFmtId="9" fontId="10" fillId="0" borderId="0" xfId="0" applyNumberFormat="1" applyAlignment="1">
      <alignment vertical="bottom"/>
    </xf>
    <xf numFmtId="0" fontId="10" fillId="0" borderId="0" xfId="0" applyAlignment="1">
      <alignment vertical="bottom"/>
    </xf>
    <xf numFmtId="0" fontId="10" fillId="0" borderId="0" xfId="0" applyAlignment="1">
      <alignment horizontal="center" vertical="bottom"/>
    </xf>
    <xf numFmtId="165" fontId="98" fillId="15" borderId="83" xfId="0" applyNumberFormat="1" applyFont="1" applyFill="1" applyBorder="1" applyAlignment="1">
      <alignment vertical="top"/>
      <protection locked="0" hidden="0"/>
    </xf>
    <xf numFmtId="165" fontId="10" fillId="0" borderId="0" xfId="0" applyNumberFormat="1" applyAlignment="1">
      <alignment vertical="bottom"/>
    </xf>
    <xf numFmtId="0" fontId="97" fillId="0" borderId="0" xfId="0" applyFont="1" applyFill="1" applyAlignment="1">
      <alignment horizontal="center" vertical="top"/>
    </xf>
    <xf numFmtId="0" fontId="102" fillId="0" borderId="0" xfId="0" applyFont="1" applyFill="1" applyAlignment="1">
      <alignment horizontal="justify" vertical="top" wrapText="1"/>
    </xf>
    <xf numFmtId="1" fontId="108" fillId="0" borderId="0" xfId="0" applyNumberFormat="1" applyFont="1" applyFill="1" applyAlignment="1">
      <alignment vertical="bottom"/>
    </xf>
    <xf numFmtId="0" fontId="108" fillId="0" borderId="0" xfId="0" applyFont="1" applyFill="1" applyAlignment="1">
      <alignment vertical="bottom"/>
    </xf>
    <xf numFmtId="0" fontId="109" fillId="0" borderId="21" xfId="0" applyFont="1" applyFill="1" applyBorder="1" applyAlignment="1">
      <alignment horizontal="center" vertical="top"/>
    </xf>
    <xf numFmtId="0" fontId="109" fillId="0" borderId="9" xfId="0" applyFont="1" applyFill="1" applyBorder="1" applyAlignment="1">
      <alignment horizontal="center" vertical="top"/>
    </xf>
    <xf numFmtId="0" fontId="109" fillId="0" borderId="22" xfId="0" applyFont="1" applyFill="1" applyBorder="1" applyAlignment="1">
      <alignment horizontal="center" vertical="top"/>
    </xf>
    <xf numFmtId="0" fontId="109" fillId="0" borderId="10" xfId="0" applyFont="1" applyFill="1" applyBorder="1" applyAlignment="1">
      <alignment horizontal="center" vertical="top"/>
    </xf>
    <xf numFmtId="0" fontId="110" fillId="0" borderId="0" xfId="0" applyFont="1" applyFill="1" applyAlignment="1">
      <alignment vertical="top"/>
    </xf>
    <xf numFmtId="0" fontId="109" fillId="0" borderId="84" xfId="0" applyFont="1" applyFill="1" applyBorder="1" applyAlignment="1">
      <alignment horizontal="center" vertical="top"/>
    </xf>
    <xf numFmtId="0" fontId="110" fillId="0" borderId="16" xfId="0" applyFont="1" applyFill="1" applyBorder="1" applyAlignment="1">
      <alignment horizontal="center" vertical="top"/>
    </xf>
    <xf numFmtId="0" fontId="110" fillId="0" borderId="0" xfId="0" applyFont="1" applyFill="1" applyBorder="1" applyAlignment="1">
      <alignment horizontal="center" vertical="top"/>
    </xf>
    <xf numFmtId="0" fontId="110" fillId="0" borderId="17" xfId="0" applyFont="1" applyFill="1" applyBorder="1" applyAlignment="1">
      <alignment horizontal="center" vertical="top"/>
    </xf>
    <xf numFmtId="0" fontId="110" fillId="0" borderId="84" xfId="0" applyFont="1" applyFill="1" applyBorder="1" applyAlignment="1">
      <alignment horizontal="center" vertical="top"/>
    </xf>
    <xf numFmtId="0" fontId="109" fillId="0" borderId="16" xfId="0" applyFont="1" applyFill="1" applyBorder="1" applyAlignment="1">
      <alignment horizontal="center" vertical="top"/>
    </xf>
    <xf numFmtId="0" fontId="109" fillId="0" borderId="0" xfId="0" applyFont="1" applyFill="1" applyBorder="1" applyAlignment="1">
      <alignment horizontal="center" vertical="top"/>
    </xf>
    <xf numFmtId="0" fontId="109" fillId="0" borderId="17" xfId="0" applyFont="1" applyFill="1" applyBorder="1" applyAlignment="1">
      <alignment horizontal="center" vertical="top"/>
    </xf>
    <xf numFmtId="0" fontId="111" fillId="0" borderId="84" xfId="0" applyFont="1" applyFill="1" applyBorder="1" applyAlignment="1">
      <alignment horizontal="center" vertical="top"/>
    </xf>
    <xf numFmtId="0" fontId="110" fillId="0" borderId="84" xfId="0" applyFont="1" applyFill="1" applyBorder="1" applyAlignment="1">
      <alignment vertical="top"/>
    </xf>
    <xf numFmtId="0" fontId="10" fillId="0" borderId="20" xfId="0" applyFill="1" applyBorder="1" applyAlignment="1">
      <alignment vertical="top"/>
    </xf>
    <xf numFmtId="0" fontId="111" fillId="0" borderId="18" xfId="0" applyFont="1" applyFill="1" applyBorder="1" applyAlignment="1">
      <alignment horizontal="center" vertical="top"/>
    </xf>
    <xf numFmtId="0" fontId="111" fillId="0" borderId="15" xfId="0" applyFont="1" applyFill="1" applyBorder="1" applyAlignment="1">
      <alignment horizontal="center" vertical="top"/>
    </xf>
    <xf numFmtId="0" fontId="111" fillId="0" borderId="19" xfId="0" applyFont="1" applyFill="1" applyBorder="1" applyAlignment="1">
      <alignment horizontal="center" vertical="top"/>
    </xf>
    <xf numFmtId="0" fontId="109" fillId="0" borderId="20" xfId="0" applyFont="1" applyFill="1" applyBorder="1" applyAlignment="1">
      <alignment horizontal="center" vertical="top"/>
    </xf>
    <xf numFmtId="0" fontId="110" fillId="0" borderId="20" xfId="0" applyFont="1" applyFill="1" applyBorder="1" applyAlignment="1">
      <alignment horizontal="center" vertical="top"/>
    </xf>
    <xf numFmtId="0" fontId="10" fillId="8" borderId="0" xfId="0" applyFill="1" applyAlignment="1">
      <alignment vertical="top"/>
    </xf>
    <xf numFmtId="0" fontId="10" fillId="8" borderId="0" xfId="0" applyFill="1" applyAlignment="1">
      <alignment vertical="bottom"/>
    </xf>
    <xf numFmtId="9" fontId="10" fillId="8" borderId="0" xfId="0" applyNumberFormat="1" applyFill="1" applyAlignment="1">
      <alignment vertical="bottom"/>
    </xf>
    <xf numFmtId="0" fontId="112" fillId="0" borderId="7" xfId="0" applyFont="1" applyFill="1" applyBorder="1" applyAlignment="1">
      <alignment horizontal="center" vertical="top"/>
    </xf>
    <xf numFmtId="0" fontId="111" fillId="0" borderId="8" xfId="0" applyFont="1" applyFill="1" applyBorder="1" applyAlignment="1">
      <alignment horizontal="center" vertical="top"/>
    </xf>
    <xf numFmtId="0" fontId="111" fillId="0" borderId="14" xfId="0" applyFont="1" applyFill="1" applyBorder="1" applyAlignment="1">
      <alignment horizontal="center" vertical="top"/>
    </xf>
    <xf numFmtId="0" fontId="111" fillId="0" borderId="11" xfId="0" applyFont="1" applyFill="1" applyBorder="1" applyAlignment="1">
      <alignment horizontal="center" vertical="top"/>
    </xf>
    <xf numFmtId="0" fontId="110" fillId="0" borderId="7" xfId="0" applyFont="1" applyFill="1" applyBorder="1" applyAlignment="1">
      <alignment horizontal="center" vertical="top"/>
    </xf>
    <xf numFmtId="0" fontId="10" fillId="8" borderId="0" xfId="0" applyFill="1" applyAlignment="1">
      <alignment horizontal="center" vertical="bottom"/>
    </xf>
    <xf numFmtId="0" fontId="10" fillId="8" borderId="0" xfId="0" applyFill="1" applyAlignment="1">
      <alignment vertical="bottom"/>
    </xf>
    <xf numFmtId="49" fontId="103" fillId="15" borderId="85" xfId="0" applyNumberFormat="1" applyFont="1" applyFill="1" applyBorder="1" applyAlignment="1">
      <alignment horizontal="center" vertical="center"/>
      <protection locked="0" hidden="0"/>
    </xf>
    <xf numFmtId="0" fontId="103" fillId="15" borderId="85" xfId="0" applyFont="1" applyFill="1" applyBorder="1" applyAlignment="1">
      <alignment horizontal="center" vertical="center"/>
      <protection locked="0" hidden="0"/>
    </xf>
    <xf numFmtId="0" fontId="113" fillId="15" borderId="32" xfId="0" applyFont="1" applyFill="1" applyBorder="1">
      <alignment vertical="center"/>
      <protection locked="0" hidden="0"/>
    </xf>
    <xf numFmtId="0" fontId="113" fillId="15" borderId="33" xfId="0" applyFont="1" applyFill="1" applyBorder="1">
      <alignment vertical="center"/>
      <protection locked="0" hidden="0"/>
    </xf>
    <xf numFmtId="0" fontId="113" fillId="15" borderId="46" xfId="0" applyFont="1" applyFill="1" applyBorder="1">
      <alignment vertical="center"/>
      <protection locked="0" hidden="0"/>
    </xf>
    <xf numFmtId="0" fontId="114" fillId="15" borderId="85" xfId="0" applyFont="1" applyFill="1" applyBorder="1">
      <alignment vertical="center"/>
      <protection locked="0" hidden="0"/>
    </xf>
    <xf numFmtId="0" fontId="113" fillId="15" borderId="85" xfId="0" applyFont="1" applyFill="1" applyBorder="1" applyAlignment="1">
      <alignment horizontal="right" vertical="center"/>
      <protection locked="0" hidden="0"/>
    </xf>
    <xf numFmtId="0" fontId="113" fillId="15" borderId="39" xfId="0" applyFont="1" applyFill="1" applyBorder="1">
      <alignment vertical="center"/>
      <protection locked="0" hidden="0"/>
    </xf>
    <xf numFmtId="0" fontId="113" fillId="15" borderId="40" xfId="0" applyFont="1" applyFill="1" applyBorder="1">
      <alignment vertical="center"/>
      <protection locked="0" hidden="0"/>
    </xf>
    <xf numFmtId="0" fontId="113" fillId="15" borderId="41" xfId="0" applyFont="1" applyFill="1" applyBorder="1">
      <alignment vertical="center"/>
      <protection locked="0" hidden="0"/>
    </xf>
    <xf numFmtId="0" fontId="114" fillId="15" borderId="86" xfId="0" applyFont="1" applyFill="1" applyBorder="1">
      <alignment vertical="center"/>
      <protection locked="0" hidden="0"/>
    </xf>
    <xf numFmtId="0" fontId="114" fillId="15" borderId="87" xfId="0" applyFont="1" applyFill="1" applyBorder="1">
      <alignment vertical="center"/>
      <protection locked="0" hidden="0"/>
    </xf>
    <xf numFmtId="0" fontId="113" fillId="15" borderId="86" xfId="0" applyFont="1" applyFill="1" applyBorder="1" applyAlignment="1">
      <alignment horizontal="right" vertical="center"/>
      <protection locked="0" hidden="0"/>
    </xf>
    <xf numFmtId="0" fontId="114" fillId="15" borderId="88" xfId="0" applyFont="1" applyFill="1" applyBorder="1">
      <alignment vertical="center"/>
      <protection locked="0" hidden="0"/>
    </xf>
    <xf numFmtId="0" fontId="113" fillId="15" borderId="44" xfId="0" applyFont="1" applyFill="1" applyBorder="1">
      <alignment vertical="center"/>
      <protection locked="0" hidden="0"/>
    </xf>
    <xf numFmtId="0" fontId="113" fillId="15" borderId="45" xfId="0" applyFont="1" applyFill="1" applyBorder="1">
      <alignment vertical="center"/>
      <protection locked="0" hidden="0"/>
    </xf>
    <xf numFmtId="0" fontId="113" fillId="15" borderId="64" xfId="0" applyFont="1" applyFill="1" applyBorder="1">
      <alignment vertical="center"/>
      <protection locked="0" hidden="0"/>
    </xf>
    <xf numFmtId="0" fontId="114" fillId="15" borderId="89" xfId="0" applyFont="1" applyFill="1" applyBorder="1">
      <alignment vertical="center"/>
      <protection locked="0" hidden="0"/>
    </xf>
    <xf numFmtId="0" fontId="113" fillId="15" borderId="89" xfId="0" applyFont="1" applyFill="1" applyBorder="1" applyAlignment="1">
      <alignment horizontal="right" vertical="center"/>
      <protection locked="0" hidden="0"/>
    </xf>
    <xf numFmtId="0" fontId="100" fillId="0" borderId="7" xfId="0" applyFont="1" applyFill="1" applyBorder="1" applyAlignment="1">
      <alignment horizontal="center" vertical="top"/>
    </xf>
    <xf numFmtId="0" fontId="100" fillId="0" borderId="7" xfId="0" applyFont="1" applyFill="1" applyBorder="1" applyAlignment="1">
      <alignment horizontal="right" vertical="top"/>
    </xf>
    <xf numFmtId="0" fontId="107" fillId="0" borderId="0" xfId="0" applyFont="1" applyFill="1" applyAlignment="1">
      <alignment vertical="top"/>
    </xf>
    <xf numFmtId="0" fontId="10" fillId="0" borderId="0" xfId="0" applyFill="1" applyAlignment="1">
      <alignment vertical="bottom"/>
    </xf>
    <xf numFmtId="0" fontId="10" fillId="8" borderId="24" xfId="0" applyFill="1" applyBorder="1">
      <alignment vertical="center"/>
    </xf>
    <xf numFmtId="0" fontId="10" fillId="8" borderId="25" xfId="0" applyFill="1" applyBorder="1">
      <alignment vertical="center"/>
    </xf>
    <xf numFmtId="0" fontId="10" fillId="8" borderId="25" xfId="0" applyFill="1" applyBorder="1" applyAlignment="1">
      <alignment vertical="bottom"/>
    </xf>
    <xf numFmtId="0" fontId="10" fillId="8" borderId="26" xfId="0" applyFill="1" applyBorder="1" applyAlignment="1">
      <alignment vertical="bottom"/>
    </xf>
    <xf numFmtId="0" fontId="115" fillId="8" borderId="31" xfId="0" applyFont="1" applyFill="1" applyBorder="1" applyAlignment="1">
      <alignment horizontal="center" vertical="center"/>
    </xf>
    <xf numFmtId="0" fontId="115" fillId="8" borderId="0" xfId="0" applyFont="1" applyFill="1" applyBorder="1" applyAlignment="1">
      <alignment horizontal="center" vertical="center"/>
    </xf>
    <xf numFmtId="0" fontId="115" fillId="8" borderId="38" xfId="0" applyFont="1" applyFill="1" applyBorder="1" applyAlignment="1">
      <alignment horizontal="center" vertical="center"/>
    </xf>
    <xf numFmtId="0" fontId="116" fillId="8" borderId="31" xfId="0" applyFont="1" applyFill="1" applyBorder="1" applyAlignment="1">
      <alignment horizontal="center" vertical="center"/>
    </xf>
    <xf numFmtId="0" fontId="116" fillId="8" borderId="0" xfId="0" applyFont="1" applyFill="1" applyBorder="1" applyAlignment="1">
      <alignment horizontal="center" vertical="center"/>
    </xf>
    <xf numFmtId="0" fontId="116" fillId="8" borderId="38" xfId="0" applyFont="1" applyFill="1" applyBorder="1" applyAlignment="1">
      <alignment horizontal="center" vertical="center"/>
    </xf>
    <xf numFmtId="0" fontId="10" fillId="8" borderId="31" xfId="0" applyFill="1" applyBorder="1">
      <alignment vertical="center"/>
    </xf>
    <xf numFmtId="0" fontId="10" fillId="8" borderId="0" xfId="0" applyFill="1" applyBorder="1">
      <alignment vertical="center"/>
    </xf>
    <xf numFmtId="0" fontId="116" fillId="8" borderId="0" xfId="0" applyFont="1" applyFill="1" applyBorder="1" applyAlignment="1">
      <alignment horizontal="center" vertical="center"/>
    </xf>
    <xf numFmtId="0" fontId="10" fillId="8" borderId="38" xfId="0" applyFill="1" applyBorder="1">
      <alignment vertical="center"/>
    </xf>
    <xf numFmtId="0" fontId="117" fillId="8" borderId="31" xfId="0" applyFont="1" applyFill="1" applyBorder="1">
      <alignment vertical="center"/>
    </xf>
    <xf numFmtId="0" fontId="117" fillId="8" borderId="0" xfId="0" applyFont="1" applyFill="1" applyBorder="1">
      <alignment vertical="center"/>
    </xf>
    <xf numFmtId="0" fontId="117" fillId="8" borderId="0" xfId="0" applyFont="1" applyFill="1" applyBorder="1" applyAlignment="1">
      <alignment horizontal="left" vertical="center"/>
    </xf>
    <xf numFmtId="0" fontId="117" fillId="8" borderId="0" xfId="0" applyFont="1" applyFill="1" applyBorder="1" applyAlignment="1">
      <alignment horizontal="center" vertical="center"/>
    </xf>
    <xf numFmtId="165" fontId="118" fillId="8" borderId="0" xfId="0" applyNumberFormat="1" applyFont="1" applyFill="1" applyBorder="1">
      <alignment vertical="center"/>
    </xf>
    <xf numFmtId="165" fontId="119" fillId="8" borderId="83" xfId="0" applyNumberFormat="1" applyFont="1" applyFill="1" applyBorder="1" applyAlignment="1">
      <alignment horizontal="left" vertical="center"/>
    </xf>
    <xf numFmtId="0" fontId="117" fillId="8" borderId="0" xfId="0" applyFont="1" applyFill="1" applyBorder="1" applyAlignment="1">
      <alignment horizontal="right" vertical="center"/>
    </xf>
    <xf numFmtId="0" fontId="117" fillId="8" borderId="0" xfId="0" applyFont="1" applyFill="1" applyBorder="1" applyAlignment="1">
      <alignment horizontal="right" vertical="center"/>
    </xf>
    <xf numFmtId="3" fontId="119" fillId="8" borderId="83" xfId="0" applyNumberFormat="1" applyFont="1" applyFill="1" applyBorder="1" applyAlignment="1">
      <alignment horizontal="right" vertical="center"/>
    </xf>
    <xf numFmtId="3" fontId="118" fillId="8" borderId="83" xfId="0" applyNumberFormat="1" applyFont="1" applyFill="1" applyBorder="1" applyAlignment="1">
      <alignment horizontal="left" vertical="center"/>
    </xf>
    <xf numFmtId="3" fontId="118" fillId="8" borderId="38" xfId="0" applyNumberFormat="1" applyFont="1" applyFill="1" applyBorder="1" applyAlignment="1">
      <alignment horizontal="left" vertical="center"/>
    </xf>
    <xf numFmtId="0" fontId="117" fillId="8" borderId="83" xfId="0" applyFont="1" applyFill="1" applyBorder="1" applyAlignment="1">
      <alignment horizontal="left" vertical="center"/>
    </xf>
    <xf numFmtId="0" fontId="120" fillId="8" borderId="83" xfId="0" applyFont="1" applyFill="1" applyBorder="1" applyAlignment="1">
      <alignment horizontal="center" vertical="center"/>
    </xf>
    <xf numFmtId="0" fontId="120" fillId="8" borderId="38" xfId="0" applyFont="1" applyFill="1" applyBorder="1">
      <alignment vertical="center"/>
    </xf>
    <xf numFmtId="0" fontId="117" fillId="8" borderId="40" xfId="0" applyFont="1" applyFill="1" applyBorder="1">
      <alignment vertical="center"/>
    </xf>
    <xf numFmtId="3" fontId="119" fillId="8" borderId="40" xfId="0" applyNumberFormat="1" applyFont="1" applyFill="1" applyBorder="1" applyAlignment="1">
      <alignment horizontal="center" vertical="center"/>
    </xf>
    <xf numFmtId="0" fontId="10" fillId="0" borderId="40" xfId="0" applyBorder="1" applyAlignment="1">
      <alignment vertical="bottom"/>
    </xf>
    <xf numFmtId="172" fontId="117" fillId="8" borderId="0" xfId="0" applyNumberFormat="1" applyFont="1" applyFill="1" applyBorder="1">
      <alignment vertical="center"/>
    </xf>
    <xf numFmtId="172" fontId="121" fillId="8" borderId="0" xfId="0" applyNumberFormat="1" applyFont="1" applyFill="1" applyBorder="1">
      <alignment vertical="center"/>
    </xf>
    <xf numFmtId="172" fontId="118" fillId="8" borderId="0" xfId="0" applyNumberFormat="1" applyFont="1" applyFill="1" applyBorder="1">
      <alignment vertical="center"/>
    </xf>
    <xf numFmtId="172" fontId="118" fillId="8" borderId="38" xfId="0" applyNumberFormat="1" applyFont="1" applyFill="1" applyBorder="1">
      <alignment vertical="center"/>
    </xf>
    <xf numFmtId="0" fontId="117" fillId="8" borderId="0" xfId="0" applyFont="1" applyFill="1" applyBorder="1" applyAlignment="1">
      <alignment horizontal="left" vertical="center" wrapText="1"/>
    </xf>
    <xf numFmtId="0" fontId="117" fillId="8" borderId="0" xfId="0" applyFont="1" applyFill="1" applyBorder="1" applyAlignment="1">
      <alignment vertical="center" wrapText="1"/>
    </xf>
    <xf numFmtId="0" fontId="117" fillId="8" borderId="38" xfId="0" applyFont="1" applyFill="1" applyBorder="1" applyAlignment="1">
      <alignment vertical="center" wrapText="1"/>
    </xf>
    <xf numFmtId="0" fontId="117" fillId="8" borderId="0" xfId="0" applyFont="1" applyFill="1" applyBorder="1" applyAlignment="1">
      <alignment horizontal="center" vertical="center" wrapText="1"/>
    </xf>
    <xf numFmtId="0" fontId="108" fillId="8" borderId="38" xfId="0" applyFont="1" applyFill="1" applyBorder="1">
      <alignment vertical="center"/>
    </xf>
    <xf numFmtId="0" fontId="108" fillId="8" borderId="31" xfId="0" applyFont="1" applyFill="1" applyBorder="1">
      <alignment vertical="center"/>
    </xf>
    <xf numFmtId="0" fontId="108" fillId="8" borderId="0" xfId="0" applyFont="1" applyFill="1" applyBorder="1">
      <alignment vertical="center"/>
    </xf>
    <xf numFmtId="0" fontId="122" fillId="8" borderId="0" xfId="0" applyFont="1" applyFill="1" applyBorder="1">
      <alignment vertical="center"/>
    </xf>
    <xf numFmtId="0" fontId="108" fillId="8" borderId="0" xfId="0" applyFont="1" applyFill="1" applyBorder="1" applyAlignment="1">
      <alignment horizontal="left" vertical="center"/>
    </xf>
    <xf numFmtId="0" fontId="123" fillId="8" borderId="83" xfId="0" applyFont="1" applyFill="1" applyBorder="1" applyAlignment="1">
      <alignment horizontal="left" vertical="center"/>
    </xf>
    <xf numFmtId="0" fontId="124" fillId="0" borderId="90" xfId="0" applyFont="1" applyBorder="1" applyAlignment="1">
      <alignment vertical="bottom"/>
    </xf>
    <xf numFmtId="0" fontId="124" fillId="0" borderId="36" xfId="0" applyFont="1" applyBorder="1" applyAlignment="1">
      <alignment vertical="bottom"/>
    </xf>
    <xf numFmtId="0" fontId="124" fillId="0" borderId="91" xfId="0" applyFont="1" applyBorder="1" applyAlignment="1">
      <alignment vertical="bottom"/>
    </xf>
    <xf numFmtId="0" fontId="123" fillId="8" borderId="40" xfId="0" applyFont="1" applyFill="1" applyBorder="1" applyAlignment="1">
      <alignment horizontal="left" vertical="center"/>
    </xf>
    <xf numFmtId="0" fontId="124" fillId="0" borderId="78" xfId="0" applyFont="1" applyBorder="1" applyAlignment="1">
      <alignment vertical="bottom"/>
    </xf>
    <xf numFmtId="0" fontId="124" fillId="0" borderId="0" xfId="0" applyFont="1" applyBorder="1" applyAlignment="1">
      <alignment vertical="bottom"/>
    </xf>
    <xf numFmtId="0" fontId="124" fillId="0" borderId="75" xfId="0" applyFont="1" applyBorder="1" applyAlignment="1">
      <alignment vertical="bottom"/>
    </xf>
    <xf numFmtId="0" fontId="124" fillId="0" borderId="92" xfId="0" applyFont="1" applyBorder="1" applyAlignment="1">
      <alignment vertical="bottom"/>
    </xf>
    <xf numFmtId="0" fontId="124" fillId="0" borderId="83" xfId="0" applyFont="1" applyBorder="1" applyAlignment="1">
      <alignment vertical="bottom"/>
    </xf>
    <xf numFmtId="0" fontId="124" fillId="0" borderId="93" xfId="0" applyFont="1" applyBorder="1" applyAlignment="1">
      <alignment vertical="bottom"/>
    </xf>
    <xf numFmtId="0" fontId="108" fillId="8" borderId="0" xfId="0" applyFont="1" applyFill="1" applyBorder="1" applyAlignment="1">
      <alignment horizontal="right" vertical="center"/>
    </xf>
    <xf numFmtId="0" fontId="125" fillId="0" borderId="0" xfId="0" applyFont="1" applyFill="1" applyAlignment="1">
      <alignment vertical="bottom"/>
    </xf>
    <xf numFmtId="0" fontId="108" fillId="8" borderId="0" xfId="0" applyFont="1" applyFill="1" applyBorder="1" applyAlignment="1">
      <alignment horizontal="center" vertical="center"/>
    </xf>
    <xf numFmtId="0" fontId="108" fillId="8" borderId="50" xfId="0" applyFont="1" applyFill="1" applyBorder="1">
      <alignment vertical="center"/>
    </xf>
    <xf numFmtId="0" fontId="108" fillId="8" borderId="51" xfId="0" applyFont="1" applyFill="1" applyBorder="1">
      <alignment vertical="center"/>
    </xf>
    <xf numFmtId="0" fontId="10" fillId="8" borderId="51" xfId="0" applyFill="1" applyBorder="1">
      <alignment vertical="center"/>
    </xf>
    <xf numFmtId="0" fontId="108" fillId="8" borderId="51" xfId="0" applyFont="1" applyFill="1" applyBorder="1" applyAlignment="1">
      <alignment horizontal="center" vertical="center"/>
    </xf>
    <xf numFmtId="0" fontId="108" fillId="8" borderId="52" xfId="0" applyFont="1" applyFill="1" applyBorder="1">
      <alignment vertical="center"/>
    </xf>
    <xf numFmtId="0" fontId="10" fillId="0" borderId="0" xfId="0" applyAlignment="1">
      <alignment horizontal="right" vertical="bottom"/>
    </xf>
    <xf numFmtId="0" fontId="126" fillId="0" borderId="24" xfId="0" applyFont="1" applyBorder="1" applyAlignment="1">
      <alignment horizontal="center" vertical="center" wrapText="1"/>
    </xf>
    <xf numFmtId="0" fontId="126" fillId="0" borderId="25" xfId="0" applyFont="1" applyBorder="1" applyAlignment="1">
      <alignment horizontal="center" vertical="center" wrapText="1"/>
    </xf>
    <xf numFmtId="0" fontId="126" fillId="0" borderId="26" xfId="0" applyFont="1" applyBorder="1" applyAlignment="1">
      <alignment horizontal="center" vertical="center" wrapText="1"/>
    </xf>
    <xf numFmtId="0" fontId="10" fillId="16" borderId="0" xfId="0" applyFill="1" applyAlignment="1">
      <alignment vertical="bottom"/>
    </xf>
    <xf numFmtId="0" fontId="127" fillId="0" borderId="31" xfId="0" applyFont="1" applyBorder="1" applyAlignment="1">
      <alignment horizontal="center" vertical="center"/>
    </xf>
    <xf numFmtId="0" fontId="127" fillId="0" borderId="0" xfId="0" applyFont="1" applyBorder="1" applyAlignment="1">
      <alignment horizontal="center" vertical="center"/>
    </xf>
    <xf numFmtId="0" fontId="127" fillId="0" borderId="38" xfId="0" applyFont="1" applyBorder="1" applyAlignment="1">
      <alignment horizontal="center" vertical="center"/>
    </xf>
    <xf numFmtId="0" fontId="64" fillId="8" borderId="31" xfId="0" applyFont="1" applyFill="1" applyBorder="1" applyAlignment="1">
      <alignment horizontal="left" vertical="center"/>
    </xf>
    <xf numFmtId="0" fontId="64" fillId="8" borderId="0" xfId="0" applyFont="1" applyFill="1" applyBorder="1" applyAlignment="1">
      <alignment horizontal="left" vertical="center"/>
    </xf>
    <xf numFmtId="0" fontId="64" fillId="8" borderId="38" xfId="0" applyFont="1" applyFill="1" applyBorder="1" applyAlignment="1">
      <alignment horizontal="left" vertical="center"/>
    </xf>
    <xf numFmtId="0" fontId="89" fillId="8" borderId="60" xfId="0" applyFont="1" applyFill="1" applyBorder="1" applyAlignment="1">
      <alignment horizontal="left" vertical="center" wrapText="1"/>
    </xf>
    <xf numFmtId="0" fontId="89" fillId="8" borderId="20" xfId="0" applyFont="1" applyFill="1" applyBorder="1" applyAlignment="1">
      <alignment horizontal="left" vertical="center" wrapText="1"/>
    </xf>
    <xf numFmtId="0" fontId="89" fillId="8" borderId="42" xfId="0" applyFont="1" applyFill="1" applyBorder="1" applyAlignment="1">
      <alignment horizontal="left" vertical="center" wrapText="1"/>
    </xf>
    <xf numFmtId="0" fontId="64" fillId="8" borderId="61" xfId="0" applyFont="1" applyFill="1" applyBorder="1" applyAlignment="1">
      <alignment horizontal="center" vertical="center"/>
    </xf>
    <xf numFmtId="0" fontId="64" fillId="8" borderId="8" xfId="0" applyFont="1" applyFill="1" applyBorder="1" applyAlignment="1">
      <alignment horizontal="center" vertical="center" wrapText="1"/>
    </xf>
    <xf numFmtId="0" fontId="64" fillId="8" borderId="14" xfId="0" applyFont="1" applyFill="1" applyBorder="1" applyAlignment="1">
      <alignment horizontal="center" vertical="center" wrapText="1"/>
    </xf>
    <xf numFmtId="0" fontId="64" fillId="8" borderId="11" xfId="0" applyFont="1" applyFill="1" applyBorder="1" applyAlignment="1">
      <alignment horizontal="center" vertical="center" wrapText="1"/>
    </xf>
    <xf numFmtId="0" fontId="64" fillId="8" borderId="7" xfId="0" applyFont="1" applyFill="1" applyBorder="1" applyAlignment="1">
      <alignment horizontal="center" vertical="center" wrapText="1"/>
    </xf>
    <xf numFmtId="0" fontId="64" fillId="8" borderId="49" xfId="0" applyFont="1" applyFill="1" applyBorder="1" applyAlignment="1">
      <alignment horizontal="center" vertical="center" wrapText="1"/>
    </xf>
    <xf numFmtId="0" fontId="89" fillId="8" borderId="61" xfId="0" applyFont="1" applyFill="1" applyBorder="1" applyAlignment="1" quotePrefix="1">
      <alignment horizontal="center" vertical="center" wrapText="1"/>
    </xf>
    <xf numFmtId="0" fontId="89" fillId="8" borderId="8" xfId="0" applyFont="1" applyFill="1" applyBorder="1" applyAlignment="1" quotePrefix="1">
      <alignment horizontal="center" vertical="center" wrapText="1"/>
    </xf>
    <xf numFmtId="0" fontId="89" fillId="8" borderId="14" xfId="0" applyFont="1" applyFill="1" applyBorder="1" applyAlignment="1" quotePrefix="1">
      <alignment horizontal="center" vertical="center" wrapText="1"/>
    </xf>
    <xf numFmtId="0" fontId="89" fillId="8" borderId="11" xfId="0" applyFont="1" applyFill="1" applyBorder="1" applyAlignment="1" quotePrefix="1">
      <alignment horizontal="center" vertical="center" wrapText="1"/>
    </xf>
    <xf numFmtId="0" fontId="89" fillId="8" borderId="7" xfId="0" applyFont="1" applyFill="1" applyBorder="1" applyAlignment="1" quotePrefix="1">
      <alignment horizontal="center" vertical="center" wrapText="1"/>
    </xf>
    <xf numFmtId="0" fontId="89" fillId="8" borderId="49" xfId="0" applyFont="1" applyFill="1" applyBorder="1" applyAlignment="1" quotePrefix="1">
      <alignment horizontal="center" vertical="center" wrapText="1"/>
    </xf>
    <xf numFmtId="0" fontId="128" fillId="8" borderId="82" xfId="0" applyFont="1" applyFill="1" applyBorder="1" applyAlignment="1">
      <alignment horizontal="center" vertical="center" wrapText="1"/>
    </xf>
    <xf numFmtId="0" fontId="64" fillId="8" borderId="94" xfId="0" applyFont="1" applyFill="1" applyBorder="1" applyAlignment="1">
      <alignment horizontal="left" vertical="top" wrapText="1"/>
    </xf>
    <xf numFmtId="0" fontId="64" fillId="8" borderId="95" xfId="0" applyFont="1" applyFill="1" applyBorder="1" applyAlignment="1">
      <alignment horizontal="left" vertical="top" wrapText="1"/>
    </xf>
    <xf numFmtId="0" fontId="64" fillId="8" borderId="96" xfId="0" applyFont="1" applyFill="1" applyBorder="1" applyAlignment="1">
      <alignment horizontal="left" vertical="top" wrapText="1"/>
    </xf>
    <xf numFmtId="0" fontId="64" fillId="8" borderId="96" xfId="0" applyFont="1" applyFill="1" applyBorder="1" applyAlignment="1">
      <alignment horizontal="right" vertical="top" wrapText="1"/>
    </xf>
    <xf numFmtId="0" fontId="64" fillId="8" borderId="97" xfId="0" applyFont="1" applyFill="1" applyBorder="1" applyAlignment="1">
      <alignment horizontal="right" vertical="top" wrapText="1"/>
    </xf>
    <xf numFmtId="0" fontId="128" fillId="8" borderId="70" xfId="0" applyFont="1" applyFill="1" applyBorder="1" applyAlignment="1">
      <alignment horizontal="center" vertical="center" wrapText="1"/>
    </xf>
    <xf numFmtId="0" fontId="64" fillId="8" borderId="98" xfId="0" applyNumberFormat="1" applyFont="1" applyFill="1" applyBorder="1" applyAlignment="1">
      <alignment horizontal="left" vertical="top"/>
    </xf>
    <xf numFmtId="0" fontId="64" fillId="8" borderId="73" xfId="0" applyNumberFormat="1" applyFont="1" applyFill="1" applyBorder="1" applyAlignment="1">
      <alignment horizontal="left" vertical="top"/>
    </xf>
    <xf numFmtId="0" fontId="64" fillId="8" borderId="72" xfId="0" applyNumberFormat="1" applyFont="1" applyFill="1" applyBorder="1" applyAlignment="1">
      <alignment horizontal="left" vertical="top"/>
    </xf>
    <xf numFmtId="167" fontId="64" fillId="8" borderId="72" xfId="4" applyNumberFormat="1" applyFont="1" applyFill="1" applyBorder="1" applyAlignment="1">
      <alignment horizontal="right" vertical="center" wrapText="1"/>
    </xf>
    <xf numFmtId="0" fontId="64" fillId="8" borderId="99" xfId="0" applyFont="1" applyFill="1" applyBorder="1" applyAlignment="1">
      <alignment horizontal="right" vertical="top" wrapText="1"/>
    </xf>
    <xf numFmtId="173" fontId="64" fillId="8" borderId="39" xfId="0" applyNumberFormat="1" applyFont="1" applyFill="1" applyBorder="1" applyAlignment="1">
      <alignment horizontal="left" vertical="top"/>
    </xf>
    <xf numFmtId="173" fontId="64" fillId="8" borderId="40" xfId="0" applyNumberFormat="1" applyFont="1" applyFill="1" applyBorder="1" applyAlignment="1">
      <alignment horizontal="left" vertical="top"/>
    </xf>
    <xf numFmtId="173" fontId="64" fillId="8" borderId="73" xfId="0" applyNumberFormat="1" applyFont="1" applyFill="1" applyBorder="1" applyAlignment="1">
      <alignment horizontal="left" vertical="top"/>
    </xf>
    <xf numFmtId="173" fontId="64" fillId="8" borderId="98" xfId="0" applyNumberFormat="1" applyFont="1" applyFill="1" applyBorder="1" applyAlignment="1">
      <alignment horizontal="left" vertical="top" wrapText="1"/>
    </xf>
    <xf numFmtId="173" fontId="64" fillId="8" borderId="73" xfId="0" applyNumberFormat="1" applyFont="1" applyFill="1" applyBorder="1" applyAlignment="1">
      <alignment horizontal="left" vertical="top" wrapText="1"/>
    </xf>
    <xf numFmtId="173" fontId="64" fillId="8" borderId="72" xfId="0" applyNumberFormat="1" applyFont="1" applyFill="1" applyBorder="1" applyAlignment="1">
      <alignment horizontal="left" vertical="top" wrapText="1"/>
    </xf>
    <xf numFmtId="174" fontId="64" fillId="8" borderId="72" xfId="4" applyNumberFormat="1" applyFont="1" applyFill="1" applyBorder="1" applyAlignment="1">
      <alignment horizontal="right" vertical="center" wrapText="1"/>
    </xf>
    <xf numFmtId="0" fontId="128" fillId="8" borderId="60" xfId="0" applyFont="1" applyFill="1" applyBorder="1" applyAlignment="1">
      <alignment horizontal="center" vertical="center" wrapText="1"/>
    </xf>
    <xf numFmtId="173" fontId="64" fillId="8" borderId="100" xfId="0" applyNumberFormat="1" applyFont="1" applyFill="1" applyBorder="1" applyAlignment="1">
      <alignment horizontal="left" vertical="top" wrapText="1"/>
    </xf>
    <xf numFmtId="173" fontId="64" fillId="8" borderId="101" xfId="0" applyNumberFormat="1" applyFont="1" applyFill="1" applyBorder="1" applyAlignment="1">
      <alignment horizontal="left" vertical="top" wrapText="1"/>
    </xf>
    <xf numFmtId="173" fontId="64" fillId="8" borderId="102" xfId="0" applyNumberFormat="1" applyFont="1" applyFill="1" applyBorder="1" applyAlignment="1">
      <alignment horizontal="left" vertical="top" wrapText="1"/>
    </xf>
    <xf numFmtId="0" fontId="64" fillId="8" borderId="102" xfId="4" applyNumberFormat="1" applyFont="1" applyFill="1" applyBorder="1" applyAlignment="1">
      <alignment horizontal="right" vertical="center" wrapText="1"/>
    </xf>
    <xf numFmtId="0" fontId="64" fillId="8" borderId="99" xfId="0" applyFont="1" applyFill="1" applyBorder="1" applyAlignment="1">
      <alignment horizontal="right" vertical="top"/>
    </xf>
    <xf numFmtId="0" fontId="128" fillId="8" borderId="61" xfId="0" applyFont="1" applyFill="1" applyBorder="1" applyAlignment="1">
      <alignment horizontal="center" vertical="center" wrapText="1"/>
    </xf>
    <xf numFmtId="0" fontId="64" fillId="8" borderId="103" xfId="0" applyNumberFormat="1" applyFont="1" applyFill="1" applyBorder="1" applyAlignment="1">
      <alignment horizontal="left" vertical="top" wrapText="1"/>
    </xf>
    <xf numFmtId="0" fontId="64" fillId="8" borderId="81" xfId="0" applyNumberFormat="1" applyFont="1" applyFill="1" applyBorder="1" applyAlignment="1">
      <alignment horizontal="left" vertical="top" wrapText="1"/>
    </xf>
    <xf numFmtId="0" fontId="64" fillId="8" borderId="80" xfId="0" applyNumberFormat="1" applyFont="1" applyFill="1" applyBorder="1" applyAlignment="1">
      <alignment horizontal="left" vertical="top" wrapText="1"/>
    </xf>
    <xf numFmtId="174" fontId="64" fillId="8" borderId="80" xfId="4" applyNumberFormat="1" applyFont="1" applyFill="1" applyBorder="1" applyAlignment="1">
      <alignment horizontal="right" vertical="top" wrapText="1"/>
    </xf>
    <xf numFmtId="0" fontId="64" fillId="8" borderId="104" xfId="0" applyFont="1" applyFill="1" applyBorder="1" applyAlignment="1">
      <alignment horizontal="right" vertical="top" wrapText="1"/>
    </xf>
    <xf numFmtId="0" fontId="64" fillId="8" borderId="105" xfId="0" applyNumberFormat="1" applyFont="1" applyFill="1" applyBorder="1" applyAlignment="1">
      <alignment horizontal="left" vertical="top" wrapText="1"/>
    </xf>
    <xf numFmtId="0" fontId="64" fillId="8" borderId="93" xfId="0" applyNumberFormat="1" applyFont="1" applyFill="1" applyBorder="1" applyAlignment="1">
      <alignment horizontal="left" vertical="top" wrapText="1"/>
    </xf>
    <xf numFmtId="0" fontId="64" fillId="8" borderId="71" xfId="0" applyNumberFormat="1" applyFont="1" applyFill="1" applyBorder="1" applyAlignment="1">
      <alignment horizontal="left" vertical="top" wrapText="1"/>
    </xf>
    <xf numFmtId="174" fontId="64" fillId="8" borderId="71" xfId="4" applyNumberFormat="1" applyFont="1" applyFill="1" applyBorder="1" applyAlignment="1">
      <alignment horizontal="right" vertical="center" wrapText="1"/>
    </xf>
    <xf numFmtId="174" fontId="64" fillId="8" borderId="102" xfId="4" applyNumberFormat="1" applyFont="1" applyFill="1" applyBorder="1" applyAlignment="1">
      <alignment horizontal="right" vertical="center" wrapText="1"/>
    </xf>
    <xf numFmtId="0" fontId="64" fillId="8" borderId="106" xfId="0" applyFont="1" applyFill="1" applyBorder="1" applyAlignment="1">
      <alignment horizontal="right" vertical="top" wrapText="1"/>
    </xf>
    <xf numFmtId="0" fontId="64" fillId="8" borderId="105" xfId="0" applyFont="1" applyFill="1" applyBorder="1" applyAlignment="1">
      <alignment horizontal="left" vertical="top" wrapText="1"/>
    </xf>
    <xf numFmtId="0" fontId="64" fillId="8" borderId="93" xfId="0" applyFont="1" applyFill="1" applyBorder="1" applyAlignment="1">
      <alignment horizontal="left" vertical="top" wrapText="1"/>
    </xf>
    <xf numFmtId="0" fontId="64" fillId="8" borderId="71" xfId="0" applyFont="1" applyFill="1" applyBorder="1" applyAlignment="1">
      <alignment horizontal="left" vertical="top" wrapText="1"/>
    </xf>
    <xf numFmtId="0" fontId="64" fillId="8" borderId="71" xfId="0" applyFont="1" applyFill="1" applyBorder="1" applyAlignment="1">
      <alignment horizontal="right" vertical="center" wrapText="1"/>
    </xf>
    <xf numFmtId="0" fontId="64" fillId="8" borderId="72" xfId="0" applyFont="1" applyFill="1" applyBorder="1" applyAlignment="1">
      <alignment horizontal="right" vertical="center" wrapText="1"/>
    </xf>
    <xf numFmtId="0" fontId="89" fillId="8" borderId="98" xfId="0" applyFont="1" applyFill="1" applyBorder="1" applyAlignment="1">
      <alignment horizontal="left" vertical="top" wrapText="1"/>
    </xf>
    <xf numFmtId="0" fontId="89" fillId="8" borderId="73" xfId="0" applyFont="1" applyFill="1" applyBorder="1" applyAlignment="1">
      <alignment horizontal="left" vertical="top" wrapText="1"/>
    </xf>
    <xf numFmtId="0" fontId="89" fillId="8" borderId="72" xfId="0" applyFont="1" applyFill="1" applyBorder="1" applyAlignment="1">
      <alignment horizontal="left" vertical="top" wrapText="1"/>
    </xf>
    <xf numFmtId="0" fontId="64" fillId="8" borderId="98" xfId="0" applyFont="1" applyFill="1" applyBorder="1" applyAlignment="1">
      <alignment horizontal="right" vertical="top" wrapText="1"/>
    </xf>
    <xf numFmtId="0" fontId="64" fillId="8" borderId="73" xfId="0" applyFont="1" applyFill="1" applyBorder="1" applyAlignment="1">
      <alignment horizontal="left" vertical="top" wrapText="1"/>
    </xf>
    <xf numFmtId="165" fontId="64" fillId="8" borderId="72" xfId="4" applyNumberFormat="1" applyFont="1" applyFill="1" applyBorder="1" applyAlignment="1">
      <alignment vertical="bottom" wrapText="1"/>
    </xf>
    <xf numFmtId="0" fontId="128" fillId="8" borderId="99" xfId="0" applyFont="1" applyFill="1" applyBorder="1" applyAlignment="1">
      <alignment horizontal="right" vertical="bottom" wrapText="1"/>
    </xf>
    <xf numFmtId="0" fontId="128" fillId="8" borderId="99" xfId="0" applyFont="1" applyFill="1" applyBorder="1" applyAlignment="1">
      <alignment horizontal="right" vertical="bottom"/>
    </xf>
    <xf numFmtId="165" fontId="64" fillId="8" borderId="72" xfId="4" applyNumberFormat="1" applyFont="1" applyFill="1" applyBorder="1" applyAlignment="1">
      <alignment vertical="bottom"/>
    </xf>
    <xf numFmtId="165" fontId="129" fillId="8" borderId="72" xfId="4" applyNumberFormat="1" applyFont="1" applyFill="1" applyBorder="1" applyAlignment="1">
      <alignment vertical="bottom"/>
    </xf>
    <xf numFmtId="173" fontId="89" fillId="8" borderId="98" xfId="0" applyNumberFormat="1" applyFont="1" applyFill="1" applyBorder="1" applyAlignment="1">
      <alignment horizontal="left" vertical="top" wrapText="1"/>
    </xf>
    <xf numFmtId="173" fontId="89" fillId="8" borderId="73" xfId="0" applyNumberFormat="1" applyFont="1" applyFill="1" applyBorder="1" applyAlignment="1">
      <alignment horizontal="left" vertical="top" wrapText="1"/>
    </xf>
    <xf numFmtId="173" fontId="89" fillId="8" borderId="72" xfId="0" applyNumberFormat="1" applyFont="1" applyFill="1" applyBorder="1" applyAlignment="1">
      <alignment horizontal="left" vertical="top"/>
    </xf>
    <xf numFmtId="167" fontId="64" fillId="8" borderId="72" xfId="0" applyNumberFormat="1" applyFont="1" applyFill="1" applyBorder="1" applyAlignment="1">
      <alignment horizontal="right" vertical="center" wrapText="1"/>
    </xf>
    <xf numFmtId="0" fontId="128" fillId="8" borderId="99" xfId="0" applyFont="1" applyFill="1" applyBorder="1" applyAlignment="1">
      <alignment horizontal="right" vertical="top" wrapText="1"/>
    </xf>
    <xf numFmtId="0" fontId="64" fillId="8" borderId="98" xfId="0" applyFont="1" applyFill="1" applyBorder="1" applyAlignment="1">
      <alignment vertical="top" wrapText="1"/>
    </xf>
    <xf numFmtId="0" fontId="64" fillId="8" borderId="73" xfId="0" applyFont="1" applyFill="1" applyBorder="1" applyAlignment="1">
      <alignment vertical="bottom" wrapText="1"/>
    </xf>
    <xf numFmtId="0" fontId="64" fillId="8" borderId="72" xfId="0" applyFont="1" applyFill="1" applyBorder="1" applyAlignment="1">
      <alignment vertical="bottom"/>
    </xf>
    <xf numFmtId="0" fontId="64" fillId="16" borderId="72" xfId="0" applyFont="1" applyFill="1" applyBorder="1" applyAlignment="1">
      <alignment vertical="bottom"/>
    </xf>
    <xf numFmtId="0" fontId="129" fillId="8" borderId="73" xfId="0" applyFont="1" applyFill="1" applyBorder="1" applyAlignment="1">
      <alignment vertical="bottom"/>
    </xf>
    <xf numFmtId="0" fontId="64" fillId="8" borderId="100" xfId="0" applyFont="1" applyFill="1" applyBorder="1" applyAlignment="1">
      <alignment vertical="top" wrapText="1"/>
    </xf>
    <xf numFmtId="0" fontId="64" fillId="8" borderId="101" xfId="0" applyFont="1" applyFill="1" applyBorder="1" applyAlignment="1">
      <alignment vertical="top" wrapText="1"/>
    </xf>
    <xf numFmtId="0" fontId="64" fillId="8" borderId="102" xfId="0" applyFont="1" applyFill="1" applyBorder="1" applyAlignment="1">
      <alignment vertical="top" wrapText="1"/>
    </xf>
    <xf numFmtId="174" fontId="64" fillId="8" borderId="102" xfId="4" applyNumberFormat="1" applyFont="1" applyFill="1" applyBorder="1" applyAlignment="1">
      <alignment horizontal="right" vertical="top" wrapText="1"/>
    </xf>
    <xf numFmtId="0" fontId="130" fillId="8" borderId="70" xfId="0" applyFont="1" applyFill="1" applyBorder="1" applyAlignment="1">
      <alignment horizontal="center" vertical="center" wrapText="1"/>
    </xf>
    <xf numFmtId="0" fontId="130" fillId="8" borderId="84" xfId="0" applyFont="1" applyFill="1" applyBorder="1" applyAlignment="1">
      <alignment horizontal="center" vertical="center" wrapText="1"/>
    </xf>
    <xf numFmtId="0" fontId="130" fillId="8" borderId="43" xfId="0" applyFont="1" applyFill="1" applyBorder="1" applyAlignment="1">
      <alignment horizontal="center" vertical="center" wrapText="1"/>
    </xf>
    <xf numFmtId="0" fontId="131" fillId="8" borderId="79" xfId="0" applyFont="1" applyFill="1" applyBorder="1" applyAlignment="1">
      <alignment horizontal="left" vertical="center" wrapText="1"/>
    </xf>
    <xf numFmtId="0" fontId="131" fillId="8" borderId="14" xfId="0" applyFont="1" applyFill="1" applyBorder="1" applyAlignment="1">
      <alignment horizontal="left" vertical="center" wrapText="1"/>
    </xf>
    <xf numFmtId="0" fontId="131" fillId="8" borderId="66" xfId="0" applyFont="1" applyFill="1" applyBorder="1" applyAlignment="1">
      <alignment horizontal="left" vertical="center" wrapText="1"/>
    </xf>
    <xf numFmtId="0" fontId="64" fillId="8" borderId="29" xfId="0" applyFont="1" applyFill="1" applyBorder="1" applyAlignment="1">
      <alignment horizontal="right" vertical="center"/>
    </xf>
    <xf numFmtId="0" fontId="64" fillId="8" borderId="22" xfId="0" applyFont="1" applyFill="1" applyBorder="1" applyAlignment="1">
      <alignment horizontal="right" vertical="center"/>
    </xf>
    <xf numFmtId="0" fontId="64" fillId="8" borderId="22" xfId="0" applyFont="1" applyFill="1" applyBorder="1" applyAlignment="1">
      <alignment horizontal="left" vertical="center" wrapText="1"/>
    </xf>
    <xf numFmtId="0" fontId="64" fillId="8" borderId="17" xfId="0" applyFont="1" applyFill="1" applyBorder="1" applyAlignment="1">
      <alignment horizontal="justify" vertical="top" wrapText="1"/>
    </xf>
    <xf numFmtId="0" fontId="64" fillId="8" borderId="43" xfId="0" applyFont="1" applyFill="1" applyBorder="1" applyAlignment="1">
      <alignment horizontal="justify" vertical="top" wrapText="1"/>
    </xf>
    <xf numFmtId="0" fontId="64" fillId="8" borderId="31" xfId="0" applyFont="1" applyFill="1" applyBorder="1" applyAlignment="1">
      <alignment horizontal="right" vertical="center"/>
    </xf>
    <xf numFmtId="0" fontId="64" fillId="8" borderId="0" xfId="0" applyFont="1" applyFill="1" applyBorder="1" applyAlignment="1">
      <alignment horizontal="right" vertical="center"/>
    </xf>
    <xf numFmtId="175" fontId="64" fillId="8" borderId="0" xfId="0" applyNumberFormat="1" applyFont="1" applyFill="1" applyBorder="1" applyAlignment="1">
      <alignment horizontal="left" vertical="center"/>
    </xf>
    <xf numFmtId="0" fontId="132" fillId="8" borderId="17" xfId="0" applyFont="1" applyFill="1" applyBorder="1" applyAlignment="1">
      <alignment horizontal="center" vertical="bottom" wrapText="1"/>
    </xf>
    <xf numFmtId="0" fontId="132" fillId="8" borderId="43" xfId="0" applyFont="1" applyFill="1" applyBorder="1" applyAlignment="1">
      <alignment horizontal="center" vertical="bottom" wrapText="1"/>
    </xf>
    <xf numFmtId="0" fontId="64" fillId="8" borderId="50" xfId="0" applyFont="1" applyFill="1" applyBorder="1" applyAlignment="1">
      <alignment horizontal="right" vertical="center"/>
    </xf>
    <xf numFmtId="0" fontId="64" fillId="8" borderId="51" xfId="0" applyFont="1" applyFill="1" applyBorder="1" applyAlignment="1">
      <alignment horizontal="right" vertical="center"/>
    </xf>
    <xf numFmtId="0" fontId="64" fillId="8" borderId="51" xfId="0" applyFont="1" applyFill="1" applyBorder="1" applyAlignment="1">
      <alignment horizontal="left" vertical="center"/>
    </xf>
    <xf numFmtId="0" fontId="133" fillId="8" borderId="107" xfId="0" applyFont="1" applyFill="1" applyBorder="1" applyAlignment="1">
      <alignment horizontal="center" vertical="center"/>
    </xf>
    <xf numFmtId="0" fontId="133" fillId="8" borderId="108" xfId="0" applyFont="1" applyFill="1" applyBorder="1" applyAlignment="1">
      <alignment horizontal="center" vertical="center"/>
    </xf>
    <xf numFmtId="0" fontId="134" fillId="0" borderId="25" xfId="0" applyFont="1" applyBorder="1" applyAlignment="1">
      <alignment horizontal="center" vertical="bottom"/>
    </xf>
    <xf numFmtId="0" fontId="10" fillId="16" borderId="0" xfId="0" applyFill="1" applyAlignment="1">
      <alignment horizontal="right" vertical="bottom"/>
    </xf>
    <xf numFmtId="0" fontId="10" fillId="14" borderId="0" xfId="0" applyFill="1" applyAlignment="1">
      <alignment vertical="bottom"/>
    </xf>
    <xf numFmtId="0" fontId="10" fillId="0" borderId="109" xfId="0" applyBorder="1" applyAlignment="1">
      <alignment vertical="bottom"/>
    </xf>
    <xf numFmtId="0" fontId="135" fillId="0" borderId="110" xfId="0" applyFont="1" applyBorder="1" applyAlignment="1">
      <alignment vertical="bottom"/>
    </xf>
    <xf numFmtId="0" fontId="135" fillId="0" borderId="111" xfId="0" applyFont="1" applyBorder="1" applyAlignment="1">
      <alignment vertical="bottom"/>
    </xf>
    <xf numFmtId="0" fontId="10" fillId="0" borderId="112" xfId="0" applyBorder="1" applyAlignment="1">
      <alignment vertical="bottom"/>
    </xf>
    <xf numFmtId="0" fontId="136" fillId="0" borderId="0" xfId="0" applyFont="1" applyBorder="1" applyAlignment="1">
      <alignment horizontal="center" vertical="bottom"/>
    </xf>
    <xf numFmtId="0" fontId="136" fillId="0" borderId="113" xfId="0" applyFont="1" applyBorder="1" applyAlignment="1">
      <alignment horizontal="center" vertical="bottom"/>
    </xf>
    <xf numFmtId="0" fontId="136" fillId="0" borderId="0" xfId="0" applyFont="1" applyBorder="1" applyAlignment="1">
      <alignment horizontal="center" vertical="bottom"/>
    </xf>
    <xf numFmtId="0" fontId="136" fillId="0" borderId="113" xfId="0" applyFont="1" applyBorder="1" applyAlignment="1">
      <alignment horizontal="center" vertical="bottom"/>
    </xf>
    <xf numFmtId="0" fontId="135" fillId="0" borderId="0" xfId="0" applyFont="1" applyBorder="1" applyAlignment="1">
      <alignment vertical="bottom"/>
    </xf>
    <xf numFmtId="0" fontId="135" fillId="0" borderId="113" xfId="0" applyFont="1" applyBorder="1" applyAlignment="1">
      <alignment vertical="bottom"/>
    </xf>
    <xf numFmtId="0" fontId="135" fillId="0" borderId="0" xfId="0" applyFont="1" applyBorder="1" applyAlignment="1">
      <alignment horizontal="left" vertical="bottom"/>
    </xf>
    <xf numFmtId="0" fontId="135" fillId="0" borderId="113" xfId="0" applyFont="1" applyBorder="1" applyAlignment="1">
      <alignment horizontal="left" vertical="bottom"/>
    </xf>
    <xf numFmtId="0" fontId="135" fillId="0" borderId="0" xfId="0" applyFont="1" applyBorder="1" applyAlignment="1">
      <alignment horizontal="left" vertical="bottom"/>
    </xf>
    <xf numFmtId="0" fontId="135" fillId="0" borderId="113" xfId="0" applyFont="1" applyBorder="1" applyAlignment="1">
      <alignment horizontal="left" vertical="bottom"/>
    </xf>
    <xf numFmtId="0" fontId="137" fillId="0" borderId="0" xfId="0" applyFont="1" applyBorder="1" applyAlignment="1">
      <alignment horizontal="center" vertical="bottom"/>
    </xf>
    <xf numFmtId="0" fontId="135" fillId="0" borderId="0" xfId="0" applyFont="1" applyBorder="1" applyAlignment="1">
      <alignment horizontal="right" vertical="bottom"/>
    </xf>
    <xf numFmtId="0" fontId="135" fillId="0" borderId="113" xfId="0" applyFont="1" applyBorder="1" applyAlignment="1">
      <alignment horizontal="right" vertical="bottom"/>
    </xf>
    <xf numFmtId="0" fontId="135" fillId="0" borderId="0" xfId="0" applyFont="1" applyBorder="1" applyAlignment="1">
      <alignment vertical="bottom"/>
    </xf>
    <xf numFmtId="0" fontId="135" fillId="0" borderId="113" xfId="0" applyFont="1" applyBorder="1" applyAlignment="1">
      <alignment vertical="bottom"/>
    </xf>
    <xf numFmtId="0" fontId="135" fillId="14" borderId="0" xfId="0" applyFont="1" applyFill="1" applyAlignment="1">
      <alignment vertical="bottom"/>
    </xf>
    <xf numFmtId="0" fontId="135" fillId="0" borderId="0" xfId="0" applyFont="1" applyBorder="1" applyAlignment="1">
      <alignment horizontal="center" vertical="bottom"/>
    </xf>
    <xf numFmtId="0" fontId="135" fillId="0" borderId="113" xfId="0" applyFont="1" applyBorder="1" applyAlignment="1">
      <alignment horizontal="center" vertical="bottom"/>
    </xf>
    <xf numFmtId="0" fontId="135" fillId="0" borderId="0" xfId="0" applyFont="1" applyBorder="1" applyAlignment="1">
      <alignment vertical="bottom"/>
    </xf>
    <xf numFmtId="0" fontId="135" fillId="0" borderId="113" xfId="0" applyFont="1" applyBorder="1" applyAlignment="1">
      <alignment vertical="bottom"/>
    </xf>
    <xf numFmtId="0" fontId="10" fillId="0" borderId="114" xfId="0" applyBorder="1" applyAlignment="1">
      <alignment vertical="bottom"/>
    </xf>
    <xf numFmtId="0" fontId="135" fillId="0" borderId="54" xfId="0" applyFont="1" applyBorder="1" applyAlignment="1">
      <alignment vertical="bottom"/>
    </xf>
    <xf numFmtId="0" fontId="135" fillId="0" borderId="115" xfId="0" applyFont="1" applyBorder="1" applyAlignment="1">
      <alignment vertical="bottom"/>
    </xf>
    <xf numFmtId="0" fontId="135" fillId="14" borderId="0" xfId="0" applyFont="1" applyFill="1" applyAlignment="1">
      <alignment vertical="bottom"/>
    </xf>
    <xf numFmtId="0" fontId="135" fillId="0" borderId="0" xfId="0" applyFont="1" applyFill="1" applyAlignment="1">
      <alignment vertical="bottom"/>
    </xf>
    <xf numFmtId="0" fontId="108" fillId="0" borderId="0" xfId="0" applyFont="1" applyFill="1" applyBorder="1" applyAlignment="1">
      <alignment vertical="bottom"/>
    </xf>
    <xf numFmtId="0" fontId="108" fillId="0" borderId="0" xfId="0" applyFont="1" applyBorder="1" applyAlignment="1">
      <alignment vertical="bottom"/>
    </xf>
    <xf numFmtId="0" fontId="108" fillId="17" borderId="0" xfId="0" applyFont="1" applyFill="1" applyBorder="1" applyAlignment="1">
      <alignment vertical="bottom"/>
    </xf>
    <xf numFmtId="0" fontId="108" fillId="0" borderId="109" xfId="0" applyFont="1" applyBorder="1" applyAlignment="1">
      <alignment vertical="bottom"/>
    </xf>
    <xf numFmtId="0" fontId="108" fillId="0" borderId="112" xfId="0" applyFont="1" applyBorder="1" applyAlignment="1">
      <alignment vertical="bottom"/>
    </xf>
    <xf numFmtId="0" fontId="138" fillId="0" borderId="0" xfId="0" applyFont="1" applyBorder="1" applyAlignment="1">
      <alignment horizontal="center" vertical="bottom"/>
    </xf>
    <xf numFmtId="0" fontId="138" fillId="0" borderId="113" xfId="0" applyFont="1" applyBorder="1" applyAlignment="1">
      <alignment vertical="bottom"/>
    </xf>
    <xf numFmtId="0" fontId="139" fillId="0" borderId="0" xfId="0" applyFont="1" applyBorder="1" applyAlignment="1">
      <alignment horizontal="center" vertical="bottom"/>
    </xf>
    <xf numFmtId="0" fontId="139" fillId="0" borderId="113" xfId="0" applyFont="1" applyBorder="1" applyAlignment="1">
      <alignment vertical="bottom"/>
    </xf>
    <xf numFmtId="0" fontId="122" fillId="0" borderId="0" xfId="0" applyFont="1" applyBorder="1" applyAlignment="1">
      <alignment horizontal="center" vertical="bottom"/>
    </xf>
    <xf numFmtId="0" fontId="122" fillId="0" borderId="113" xfId="0" applyFont="1" applyBorder="1" applyAlignment="1">
      <alignment vertical="bottom"/>
    </xf>
    <xf numFmtId="0" fontId="122" fillId="0" borderId="0" xfId="0" applyFont="1" applyBorder="1" applyAlignment="1" quotePrefix="1">
      <alignment horizontal="center" vertical="bottom"/>
    </xf>
    <xf numFmtId="0" fontId="135" fillId="0" borderId="0" xfId="0" applyFont="1" applyBorder="1" applyAlignment="1">
      <alignment horizontal="center" vertical="bottom"/>
    </xf>
    <xf numFmtId="0" fontId="135" fillId="0" borderId="113" xfId="0" applyFont="1" applyBorder="1" applyAlignment="1">
      <alignment horizontal="center" vertical="bottom"/>
    </xf>
    <xf numFmtId="0" fontId="108" fillId="0" borderId="114" xfId="0" applyFont="1" applyBorder="1" applyAlignment="1">
      <alignment vertical="bottom"/>
    </xf>
    <xf numFmtId="0" fontId="135" fillId="17" borderId="0" xfId="0" applyFont="1" applyFill="1" applyBorder="1" applyAlignment="1">
      <alignment vertical="bottom"/>
    </xf>
    <xf numFmtId="0" fontId="135" fillId="0" borderId="0" xfId="0" applyFont="1" applyFill="1" applyBorder="1" applyAlignment="1">
      <alignment vertical="bottom"/>
    </xf>
    <xf numFmtId="0" fontId="22" fillId="0" borderId="0" xfId="0" applyFont="1" applyAlignment="1">
      <alignment vertical="bottom"/>
    </xf>
    <xf numFmtId="0" fontId="22" fillId="8" borderId="0" xfId="0" applyFont="1" applyFill="1" applyBorder="1">
      <alignment vertical="center"/>
      <protection locked="1" hidden="1"/>
    </xf>
    <xf numFmtId="0" fontId="22" fillId="8" borderId="0" xfId="0" applyFont="1" applyFill="1" applyBorder="1" applyAlignment="1">
      <alignment vertical="center" wrapText="1"/>
      <protection locked="1" hidden="1"/>
    </xf>
    <xf numFmtId="0" fontId="22" fillId="0" borderId="0" xfId="0" applyFont="1" applyBorder="1" applyAlignment="1">
      <alignment vertical="bottom"/>
    </xf>
    <xf numFmtId="0" fontId="45" fillId="0" borderId="0" xfId="0" applyFont="1" applyBorder="1" applyAlignment="1">
      <alignment vertical="bottom"/>
    </xf>
    <xf numFmtId="0" fontId="45" fillId="0" borderId="0" xfId="0" applyFont="1" applyAlignment="1">
      <alignment vertical="bottom"/>
    </xf>
    <xf numFmtId="1" fontId="140" fillId="0" borderId="0" xfId="0" applyNumberFormat="1" applyFont="1" applyFill="1" applyBorder="1" applyAlignment="1">
      <alignment horizontal="center" vertical="top" shrinkToFit="1"/>
    </xf>
    <xf numFmtId="0" fontId="45" fillId="8" borderId="0" xfId="0" applyFont="1" applyFill="1" applyBorder="1" applyAlignment="1">
      <alignment horizontal="center" vertical="bottom"/>
      <protection locked="1" hidden="1"/>
    </xf>
    <xf numFmtId="0" fontId="22" fillId="8" borderId="0" xfId="0" applyFont="1" applyFill="1" applyBorder="1" applyAlignment="1">
      <alignment horizontal="center" vertical="bottom"/>
      <protection locked="1" hidden="1"/>
    </xf>
    <xf numFmtId="176" fontId="12" fillId="0" borderId="0" xfId="0" applyNumberFormat="1" applyFont="1" applyFill="1" applyAlignment="1">
      <alignment vertical="bottom"/>
    </xf>
    <xf numFmtId="0" fontId="22" fillId="0" borderId="0" xfId="0" applyFont="1" applyBorder="1" applyAlignment="1">
      <alignment vertical="bottom" wrapText="1"/>
    </xf>
    <xf numFmtId="0" fontId="22" fillId="8" borderId="0" xfId="0" applyFont="1" applyFill="1" applyBorder="1" applyAlignment="1">
      <alignment horizontal="center" vertical="bottom" wrapText="1"/>
      <protection locked="1" hidden="1"/>
    </xf>
    <xf numFmtId="0" fontId="22" fillId="8" borderId="0" xfId="0" applyFont="1" applyFill="1" applyBorder="1" applyAlignment="1">
      <alignment vertical="bottom"/>
      <protection locked="1" hidden="1"/>
    </xf>
    <xf numFmtId="1" fontId="140" fillId="0" borderId="0" xfId="0" applyNumberFormat="1" applyFont="1" applyFill="1" applyBorder="1" applyAlignment="1">
      <alignment horizontal="right" vertical="top" indent="1" shrinkToFit="1"/>
    </xf>
    <xf numFmtId="0" fontId="22" fillId="8" borderId="0" xfId="0" applyFont="1" applyFill="1" applyBorder="1" applyAlignment="1">
      <alignment vertical="bottom"/>
    </xf>
    <xf numFmtId="1" fontId="12" fillId="0" borderId="0" xfId="0" applyNumberFormat="1" applyFont="1" applyAlignment="1">
      <alignment horizontal="center" vertical="top"/>
    </xf>
    <xf numFmtId="3" fontId="22" fillId="0" borderId="0" xfId="0" applyNumberFormat="1" applyFont="1" applyAlignment="1">
      <alignment vertical="bottom"/>
    </xf>
    <xf numFmtId="1" fontId="22" fillId="0" borderId="0" xfId="0" applyNumberFormat="1" applyFont="1" applyAlignment="1">
      <alignment vertical="bottom"/>
    </xf>
  </cellXfs>
  <cellStyles count="5">
    <cellStyle name="常规" xfId="0" builtinId="0"/>
    <cellStyle name="Normal 3" xfId="1"/>
    <cellStyle name="Hyperlink" xfId="2"/>
    <cellStyle name="Normal 2" xfId="3"/>
    <cellStyle name="Comma 2" xfId="4"/>
  </cellStyles>
  <dxfs count="23">
    <dxf>
      <font>
        <sz val="11"/>
        <color rgb="FFC4BD97"/>
      </font>
      <fill>
        <patternFill>
          <bgColor rgb="FFC4BD97"/>
        </patternFill>
      </fill>
    </dxf>
    <dxf>
      <font>
        <sz val="11"/>
        <color rgb="FF5181BD"/>
      </font>
      <fill>
        <patternFill>
          <bgColor rgb="FF5181BD"/>
        </patternFill>
      </fill>
      <border>
        <left/>
        <right/>
        <top/>
        <bottom/>
        <diagonal/>
      </border>
    </dxf>
    <dxf>
      <font>
        <sz val="11"/>
        <color rgb="FF5181BD"/>
      </font>
      <fill>
        <patternFill>
          <bgColor rgb="FF5181BD"/>
        </patternFill>
      </fill>
      <border>
        <left/>
        <right/>
        <top/>
        <bottom/>
        <diagonal/>
      </border>
    </dxf>
    <dxf>
      <font>
        <sz val="11"/>
        <color rgb="FFC4BD97"/>
      </font>
      <fill>
        <patternFill>
          <bgColor rgb="FFC4BD97"/>
        </patternFill>
      </fill>
    </dxf>
    <dxf>
      <font>
        <sz val="11"/>
        <color rgb="FFC4BD97"/>
      </font>
      <fill>
        <patternFill>
          <bgColor rgb="FFC4BD97"/>
        </patternFill>
      </fill>
    </dxf>
    <dxf>
      <font>
        <b/>
        <sz val="11"/>
        <color rgb="FF00B050"/>
      </font>
      <fill>
        <patternFill>
          <bgColor rgb="FFFFFF00"/>
        </patternFill>
      </fill>
    </dxf>
    <dxf>
      <font>
        <sz val="11"/>
      </font>
      <fill>
        <patternFill>
          <bgColor rgb="FF000000"/>
        </patternFill>
      </fill>
    </dxf>
    <dxf>
      <font>
        <sz val="11"/>
        <color rgb="FF1F4A7E"/>
      </font>
      <fill>
        <patternFill>
          <bgColor rgb="FF1F4A7E"/>
        </patternFill>
      </fill>
    </dxf>
    <dxf>
      <font>
        <sz val="11"/>
        <color rgb="FFFFFFFF"/>
      </font>
      <fill>
        <patternFill>
          <bgColor rgb="FFFFFFFF"/>
        </patternFill>
      </fill>
    </dxf>
    <dxf>
      <font>
        <sz val="11"/>
      </font>
      <fill>
        <patternFill>
          <bgColor rgb="FF000000"/>
        </patternFill>
      </fill>
    </dxf>
    <dxf>
      <font>
        <sz val="11"/>
        <color rgb="FFB9CCE4"/>
      </font>
      <fill>
        <patternFill>
          <bgColor rgb="FFB9CCE4"/>
        </patternFill>
      </fill>
    </dxf>
    <dxf>
      <font>
        <b/>
        <sz val="11"/>
        <color rgb="FF00B050"/>
      </font>
      <fill>
        <patternFill>
          <bgColor rgb="FFFFFF00"/>
        </patternFill>
      </fill>
    </dxf>
    <dxf>
      <font>
        <sz val="11"/>
        <color rgb="FF5181BD"/>
      </font>
      <fill>
        <patternFill>
          <bgColor rgb="FF5181BD"/>
        </patternFill>
      </fill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rgb="FFFFFFFF"/>
      </font>
    </dxf>
    <dxf>
      <font>
        <sz val="11"/>
        <color rgb="FFFFFFFF"/>
      </font>
      <fill>
        <patternFill>
          <bgColor rgb="FFFFFFFF"/>
        </patternFill>
      </fill>
      <border>
        <left/>
        <right/>
        <top/>
        <bottom/>
        <diagonal/>
      </border>
    </dxf>
    <dxf>
      <font>
        <sz val="11"/>
        <color rgb="FFFFFFFF"/>
      </font>
      <fill>
        <patternFill/>
      </fill>
    </dxf>
    <dxf>
      <font>
        <sz val="11"/>
        <color rgb="FFFFFFFF"/>
      </font>
      <fill>
        <patternFill>
          <bgColor rgb="FFFFFFFF"/>
        </patternFill>
      </fill>
    </dxf>
    <dxf>
      <font>
        <sz val="11"/>
        <color rgb="FFFFFFFF"/>
      </font>
      <fill>
        <patternFill>
          <bgColor rgb="FFF2F2F2"/>
        </patternFill>
      </fill>
      <border>
        <left/>
        <right/>
        <top/>
        <bottom/>
        <diagonal/>
      </border>
    </dxf>
    <dxf>
      <font>
        <sz val="11"/>
        <color rgb="FFFFFFFF"/>
      </font>
      <fill>
        <patternFill>
          <bgColor rgb="FFFFFFFF"/>
        </patternFill>
      </fill>
      <border>
        <left/>
        <right/>
        <top/>
        <bottom/>
        <diagonal/>
      </border>
    </dxf>
    <dxf>
      <font>
        <sz val="11"/>
        <color rgb="FFFFFFFF"/>
      </font>
      <fill>
        <patternFill>
          <bgColor rgb="FFFFFFFF"/>
        </patternFill>
      </fill>
    </dxf>
  </dxf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www.wps.cn/officeDocument/2020/cellImage" Target="cellimages.xml"/><Relationship Id="rId14" Type="http://schemas.openxmlformats.org/officeDocument/2006/relationships/sharedStrings" Target="sharedStrings.xml"/><Relationship Id="rId15" Type="http://schemas.openxmlformats.org/officeDocument/2006/relationships/styles" Target="styles.xml"/><Relationship Id="rId16" Type="http://schemas.openxmlformats.org/officeDocument/2006/relationships/theme" Target="theme/theme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0.jpe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<Relationship Id="rId4" Type="http://schemas.openxmlformats.org/officeDocument/2006/relationships/image" Target="../media/image4.jpeg"/><Relationship Id="rId5" Type="http://schemas.openxmlformats.org/officeDocument/2006/relationships/image" Target="../media/image5.jpeg"/></Relationships>
</file>

<file path=xl/drawings/_rels/drawing9.xml.rels><?xml version="1.0" encoding="UTF-8" standalone="yes"?>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56647</xdr:colOff>
      <xdr:row>14</xdr:row>
      <xdr:rowOff>88552</xdr:rowOff>
    </xdr:from>
    <xdr:to>
      <xdr:col>19</xdr:col>
      <xdr:colOff>180478</xdr:colOff>
      <xdr:row>17</xdr:row>
      <xdr:rowOff>0</xdr:rowOff>
    </xdr:to>
    <xdr:sp macro="" textlink="">
      <xdr:nvSpPr>
        <xdr:cNvPr id="2" name="rect"/>
        <xdr:cNvSpPr/>
      </xdr:nvSpPr>
      <xdr:spPr>
        <a:xfrm>
          <a:off x="6953250" y="3790950"/>
          <a:ext cx="5562600" cy="548236"/>
        </a:xfrm>
        <a:prstGeom prst="rect">
          <a:avLst/>
        </a:prstGeom>
        <a:solidFill>
          <a:srgbClr val="ffff00"/>
        </a:solidFill>
        <a:ln w="9525" cap="flat" cmpd="sng">
          <a:noFill/>
          <a:prstDash val="solid"/>
          <a:miter/>
        </a:ln>
        <a:effectLst>
          <a:outerShdw dist="250190" dir="8460000" kx="0" algn="ctr" rotWithShape="0">
            <a:srgbClr val="000000">
              <a:alpha val="27998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ctr"/>
        <a:lstStyle/>
        <a:p>
          <a:pPr algn="ctr"/>
          <a:r>
            <a:rPr lang="en-US" altLang="zh-CN" sz="24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Click</a:t>
          </a:r>
          <a:r>
            <a:rPr lang="en-US" altLang="zh-CN" sz="24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here to start your IT calculation</a:t>
          </a:r>
        </a:p>
      </xdr:txBody>
    </xdr:sp>
    <xdr:clientData/>
  </xdr:twoCellAnchor>
  <xdr:twoCellAnchor>
    <xdr:from>
      <xdr:col>0</xdr:col>
      <xdr:colOff>65715</xdr:colOff>
      <xdr:row>0</xdr:row>
      <xdr:rowOff>250254</xdr:rowOff>
    </xdr:from>
    <xdr:to>
      <xdr:col>0</xdr:col>
      <xdr:colOff>664534</xdr:colOff>
      <xdr:row>0</xdr:row>
      <xdr:rowOff>848320</xdr:rowOff>
    </xdr:to>
    <xdr:pic>
      <xdr:nvPicPr>
        <xdr:cNvPr id="3" name="Picture 2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7250" y="285750"/>
          <a:ext cx="598926" cy="6000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388391</xdr:colOff>
      <xdr:row>0</xdr:row>
      <xdr:rowOff>250254</xdr:rowOff>
    </xdr:from>
    <xdr:to>
      <xdr:col>7</xdr:col>
      <xdr:colOff>987211</xdr:colOff>
      <xdr:row>0</xdr:row>
      <xdr:rowOff>848320</xdr:rowOff>
    </xdr:to>
    <xdr:pic>
      <xdr:nvPicPr>
        <xdr:cNvPr id="4" name="Picture 4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934650" y="285750"/>
          <a:ext cx="598926" cy="6000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156875</xdr:colOff>
      <xdr:row>11</xdr:row>
      <xdr:rowOff>24928</xdr:rowOff>
    </xdr:from>
    <xdr:to>
      <xdr:col>12</xdr:col>
      <xdr:colOff>277391</xdr:colOff>
      <xdr:row>17</xdr:row>
      <xdr:rowOff>164529</xdr:rowOff>
    </xdr:to>
    <xdr:pic>
      <xdr:nvPicPr>
        <xdr:cNvPr id="2" name="Picture 1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347574" y="2668637"/>
          <a:ext cx="1611033" cy="16141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>
          <a:outerShdw dist="228600" dir="2640000" kx="0" algn="ctr" rotWithShape="0">
            <a:srgbClr val="000000">
              <a:alpha val="30000"/>
            </a:srgbClr>
          </a:outerShdw>
        </a:effectLst>
      </xdr:spPr>
    </xdr:pic>
    <xdr:clientData/>
  </xdr:twoCellAnchor>
  <xdr:twoCellAnchor>
    <xdr:from>
      <xdr:col>7</xdr:col>
      <xdr:colOff>0</xdr:colOff>
      <xdr:row>41</xdr:row>
      <xdr:rowOff>0</xdr:rowOff>
    </xdr:from>
    <xdr:to>
      <xdr:col>7</xdr:col>
      <xdr:colOff>29613</xdr:colOff>
      <xdr:row>41</xdr:row>
      <xdr:rowOff>0</xdr:rowOff>
    </xdr:to>
    <xdr:pic>
      <xdr:nvPicPr>
        <xdr:cNvPr id="3" name="Picture 5" descr="Raghu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544235" y="10006853"/>
          <a:ext cx="32193" cy="32193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41</xdr:row>
      <xdr:rowOff>0</xdr:rowOff>
    </xdr:from>
    <xdr:to>
      <xdr:col>7</xdr:col>
      <xdr:colOff>29613</xdr:colOff>
      <xdr:row>41</xdr:row>
      <xdr:rowOff>0</xdr:rowOff>
    </xdr:to>
    <xdr:pic>
      <xdr:nvPicPr>
        <xdr:cNvPr id="4" name="Picture 6" descr="Raghu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544235" y="10006853"/>
          <a:ext cx="32193" cy="32193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389586</xdr:colOff>
      <xdr:row>41</xdr:row>
      <xdr:rowOff>126637</xdr:rowOff>
    </xdr:from>
    <xdr:to>
      <xdr:col>13</xdr:col>
      <xdr:colOff>94488</xdr:colOff>
      <xdr:row>44</xdr:row>
      <xdr:rowOff>0</xdr:rowOff>
    </xdr:to>
    <xdr:sp macro="" textlink="">
      <xdr:nvSpPr>
        <xdr:cNvPr id="5" name="rect"/>
        <xdr:cNvSpPr/>
      </xdr:nvSpPr>
      <xdr:spPr>
        <a:xfrm>
          <a:off x="10386900" y="10162580"/>
          <a:ext cx="1583896" cy="67350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ctr"/>
        <a:lstStyle/>
        <a:p>
          <a:pPr algn="ctr"/>
          <a:r>
            <a:rPr lang="en-US" altLang="zh-CN" sz="1600" b="1">
              <a:solidFill>
                <a:srgbClr val="FFFFCC"/>
              </a:solidFill>
              <a:latin typeface="Calibri" panose="" pitchFamily="0" charset="0"/>
              <a:ea typeface="Calibri" panose="" pitchFamily="0" charset="0"/>
            </a:rPr>
            <a:t>P.Pothan Prasad</a:t>
          </a:r>
        </a:p>
        <a:p>
          <a:pPr algn="ctr"/>
          <a:r>
            <a:rPr lang="en-US" altLang="zh-CN" sz="1600" b="1">
              <a:solidFill>
                <a:srgbClr val="FFFFCC"/>
              </a:solidFill>
              <a:latin typeface="Calibri" panose="" pitchFamily="0" charset="0"/>
              <a:ea typeface="Calibri" panose="" pitchFamily="0" charset="0"/>
            </a:rPr>
            <a:t>IT</a:t>
          </a:r>
          <a:r>
            <a:rPr lang="en-US" altLang="zh-CN" sz="1600" b="1">
              <a:solidFill>
                <a:srgbClr val="FFFFCC"/>
              </a:solidFill>
              <a:latin typeface="Calibri" panose="" pitchFamily="0" charset="0"/>
              <a:ea typeface="Calibri" panose="" pitchFamily="0" charset="0"/>
            </a:rPr>
            <a:t> Convenor, STUAP, </a:t>
          </a:r>
        </a:p>
        <a:p>
          <a:pPr algn="ctr"/>
          <a:r>
            <a:rPr lang="en-US" altLang="zh-CN" sz="1600" b="1">
              <a:solidFill>
                <a:srgbClr val="FFFFCC"/>
              </a:solidFill>
              <a:latin typeface="Calibri" panose="" pitchFamily="0" charset="0"/>
              <a:ea typeface="Calibri" panose="" pitchFamily="0" charset="0"/>
            </a:rPr>
            <a:t>Kadapa</a:t>
          </a:r>
        </a:p>
      </xdr:txBody>
    </xdr:sp>
    <xdr:clientData/>
  </xdr:twoCellAnchor>
  <xdr:twoCellAnchor>
    <xdr:from>
      <xdr:col>8</xdr:col>
      <xdr:colOff>574702</xdr:colOff>
      <xdr:row>65</xdr:row>
      <xdr:rowOff>0</xdr:rowOff>
    </xdr:from>
    <xdr:to>
      <xdr:col>14</xdr:col>
      <xdr:colOff>39234</xdr:colOff>
      <xdr:row>78</xdr:row>
      <xdr:rowOff>63251</xdr:rowOff>
    </xdr:to>
    <xdr:grpSp>
      <xdr:nvGrpSpPr>
        <xdr:cNvPr id="6" name=" "/>
        <xdr:cNvGrpSpPr/>
      </xdr:nvGrpSpPr>
      <xdr:grpSpPr>
        <a:xfrm>
          <a:off x="16662857" y="4716584"/>
          <a:ext cx="19286448" cy="10395455"/>
          <a:chOff x="8208899" y="15916814"/>
          <a:chExt cx="3714311" cy="4566880"/>
        </a:xfrm>
      </xdr:grpSpPr>
      <xdr:sp macro="" textlink="">
        <xdr:nvSpPr>
          <xdr:cNvPr id="6" name="rect"/>
          <xdr:cNvSpPr/>
        </xdr:nvSpPr>
        <xdr:spPr>
          <a:xfrm>
            <a:off x="8208899" y="15916814"/>
            <a:ext cx="3690498" cy="530658"/>
          </a:xfrm>
          <a:prstGeom prst="rect">
            <a:avLst/>
          </a:prstGeom>
          <a:solidFill>
            <a:srgbClr val="ffff00"/>
          </a:solidFill>
          <a:ln w="9525" cap="flat" cmpd="sng">
            <a:noFill/>
            <a:prstDash val="solid"/>
            <a:miter/>
          </a:ln>
          <a:effectLst>
            <a:outerShdw dist="250190" dir="8460000" kx="0" algn="ctr" rotWithShape="0">
              <a:srgbClr val="000000">
                <a:alpha val="27998"/>
              </a:srgb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91440" tIns="45720" rIns="91440" bIns="45720" anchor="ctr"/>
          <a:lstStyle/>
          <a:p>
            <a:pPr algn="ctr"/>
            <a:r>
              <a:rPr lang="en-US" altLang="zh-CN" sz="2800" b="1">
                <a:solidFill>
                  <a:srgbClr val="000000"/>
                </a:solidFill>
                <a:latin typeface="Calibri" panose="" pitchFamily="0" charset="0"/>
                <a:ea typeface="Calibri" panose="" pitchFamily="0" charset="0"/>
              </a:rPr>
              <a:t>Annexure</a:t>
            </a:r>
            <a:r>
              <a:rPr lang="en-US" altLang="zh-CN" sz="2800" b="1">
                <a:solidFill>
                  <a:srgbClr val="000000"/>
                </a:solidFill>
                <a:latin typeface="Calibri" panose="" pitchFamily="0" charset="0"/>
                <a:ea typeface="Calibri" panose="" pitchFamily="0" charset="0"/>
              </a:rPr>
              <a:t> - I</a:t>
            </a:r>
          </a:p>
        </xdr:txBody>
      </xdr:sp>
      <xdr:sp macro="" textlink="">
        <xdr:nvSpPr>
          <xdr:cNvPr id="7" name="rect"/>
          <xdr:cNvSpPr/>
        </xdr:nvSpPr>
        <xdr:spPr>
          <a:xfrm>
            <a:off x="8232712" y="16571659"/>
            <a:ext cx="3690498" cy="530658"/>
          </a:xfrm>
          <a:prstGeom prst="rect">
            <a:avLst/>
          </a:prstGeom>
          <a:solidFill>
            <a:srgbClr val="ffff00"/>
          </a:solidFill>
          <a:ln w="9525" cap="flat" cmpd="sng">
            <a:noFill/>
            <a:prstDash val="solid"/>
            <a:miter/>
          </a:ln>
          <a:effectLst>
            <a:outerShdw dist="250190" dir="8460000" kx="0" algn="ctr" rotWithShape="0">
              <a:srgbClr val="000000">
                <a:alpha val="27998"/>
              </a:srgb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91440" tIns="45720" rIns="91440" bIns="45720" anchor="ctr"/>
          <a:lstStyle/>
          <a:p>
            <a:pPr algn="ctr"/>
            <a:r>
              <a:rPr lang="en-US" altLang="zh-CN" sz="2800" b="1">
                <a:solidFill>
                  <a:srgbClr val="000000"/>
                </a:solidFill>
                <a:latin typeface="Calibri" panose="" pitchFamily="0" charset="0"/>
                <a:ea typeface="Calibri" panose="" pitchFamily="0" charset="0"/>
              </a:rPr>
              <a:t>Annexure</a:t>
            </a:r>
            <a:r>
              <a:rPr lang="en-US" altLang="zh-CN" sz="2800" b="1">
                <a:solidFill>
                  <a:srgbClr val="000000"/>
                </a:solidFill>
                <a:latin typeface="Calibri" panose="" pitchFamily="0" charset="0"/>
                <a:ea typeface="Calibri" panose="" pitchFamily="0" charset="0"/>
              </a:rPr>
              <a:t> - II</a:t>
            </a:r>
          </a:p>
        </xdr:txBody>
      </xdr:sp>
      <xdr:sp macro="" textlink="">
        <xdr:nvSpPr>
          <xdr:cNvPr id="8" name="rect"/>
          <xdr:cNvSpPr/>
        </xdr:nvSpPr>
        <xdr:spPr>
          <a:xfrm>
            <a:off x="8232712" y="17238408"/>
            <a:ext cx="3690498" cy="530658"/>
          </a:xfrm>
          <a:prstGeom prst="rect">
            <a:avLst/>
          </a:prstGeom>
          <a:solidFill>
            <a:srgbClr val="ffff00"/>
          </a:solidFill>
          <a:ln w="9525" cap="flat" cmpd="sng">
            <a:noFill/>
            <a:prstDash val="solid"/>
            <a:miter/>
          </a:ln>
          <a:effectLst>
            <a:outerShdw dist="250190" dir="8460000" kx="0" algn="ctr" rotWithShape="0">
              <a:srgbClr val="000000">
                <a:alpha val="27998"/>
              </a:srgb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91440" tIns="45720" rIns="91440" bIns="45720" anchor="ctr"/>
          <a:lstStyle/>
          <a:p>
            <a:pPr algn="ctr"/>
            <a:r>
              <a:rPr lang="en-US" altLang="zh-CN" sz="2800" b="1">
                <a:solidFill>
                  <a:srgbClr val="000000"/>
                </a:solidFill>
                <a:latin typeface="Calibri" panose="" pitchFamily="0" charset="0"/>
                <a:ea typeface="Calibri" panose="" pitchFamily="0" charset="0"/>
              </a:rPr>
              <a:t>Form - 16 (1)</a:t>
            </a:r>
          </a:p>
        </xdr:txBody>
      </xdr:sp>
      <xdr:sp macro="" textlink="">
        <xdr:nvSpPr>
          <xdr:cNvPr id="9" name="rect"/>
          <xdr:cNvSpPr/>
        </xdr:nvSpPr>
        <xdr:spPr>
          <a:xfrm>
            <a:off x="8220805" y="17905161"/>
            <a:ext cx="3690498" cy="530658"/>
          </a:xfrm>
          <a:prstGeom prst="rect">
            <a:avLst/>
          </a:prstGeom>
          <a:solidFill>
            <a:srgbClr val="ffff00"/>
          </a:solidFill>
          <a:ln w="9525" cap="flat" cmpd="sng">
            <a:noFill/>
            <a:prstDash val="solid"/>
            <a:miter/>
          </a:ln>
          <a:effectLst>
            <a:outerShdw dist="250190" dir="8460000" kx="0" algn="ctr" rotWithShape="0">
              <a:srgbClr val="000000">
                <a:alpha val="27998"/>
              </a:srgb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91440" tIns="45720" rIns="91440" bIns="45720" anchor="ctr"/>
          <a:lstStyle/>
          <a:p>
            <a:pPr algn="ctr"/>
            <a:r>
              <a:rPr lang="en-US" altLang="zh-CN" sz="2800" b="1">
                <a:solidFill>
                  <a:srgbClr val="000000"/>
                </a:solidFill>
                <a:latin typeface="Calibri" panose="" pitchFamily="0" charset="0"/>
                <a:ea typeface="Calibri" panose="" pitchFamily="0" charset="0"/>
              </a:rPr>
              <a:t>Form - 16 (2)</a:t>
            </a:r>
          </a:p>
        </xdr:txBody>
      </xdr:sp>
      <xdr:sp macro="" textlink="">
        <xdr:nvSpPr>
          <xdr:cNvPr id="10" name="rect"/>
          <xdr:cNvSpPr/>
        </xdr:nvSpPr>
        <xdr:spPr>
          <a:xfrm>
            <a:off x="8220806" y="18571911"/>
            <a:ext cx="3690498" cy="530658"/>
          </a:xfrm>
          <a:prstGeom prst="rect">
            <a:avLst/>
          </a:prstGeom>
          <a:solidFill>
            <a:srgbClr val="ffff00"/>
          </a:solidFill>
          <a:ln w="9525" cap="flat" cmpd="sng">
            <a:noFill/>
            <a:prstDash val="solid"/>
            <a:miter/>
          </a:ln>
          <a:effectLst>
            <a:outerShdw dist="250190" dir="8460000" kx="0" algn="ctr" rotWithShape="0">
              <a:srgbClr val="000000">
                <a:alpha val="27998"/>
              </a:srgb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91440" tIns="45720" rIns="91440" bIns="45720" anchor="ctr"/>
          <a:lstStyle/>
          <a:p>
            <a:pPr algn="ctr"/>
            <a:r>
              <a:rPr lang="en-US" altLang="zh-CN" sz="2800" b="1">
                <a:solidFill>
                  <a:srgbClr val="000000"/>
                </a:solidFill>
                <a:latin typeface="Calibri" panose="" pitchFamily="0" charset="0"/>
                <a:ea typeface="Calibri" panose="" pitchFamily="0" charset="0"/>
              </a:rPr>
              <a:t>Rent Receipt</a:t>
            </a:r>
          </a:p>
        </xdr:txBody>
      </xdr:sp>
      <xdr:sp macro="" textlink="">
        <xdr:nvSpPr>
          <xdr:cNvPr id="11" name="rect"/>
          <xdr:cNvSpPr/>
        </xdr:nvSpPr>
        <xdr:spPr>
          <a:xfrm>
            <a:off x="8208900" y="19238661"/>
            <a:ext cx="3690498" cy="530658"/>
          </a:xfrm>
          <a:prstGeom prst="rect">
            <a:avLst/>
          </a:prstGeom>
          <a:solidFill>
            <a:srgbClr val="ffff00"/>
          </a:solidFill>
          <a:ln w="9525" cap="flat" cmpd="sng">
            <a:noFill/>
            <a:prstDash val="solid"/>
            <a:miter/>
          </a:ln>
          <a:effectLst>
            <a:outerShdw dist="250190" dir="8460000" kx="0" algn="ctr" rotWithShape="0">
              <a:srgbClr val="000000">
                <a:alpha val="27998"/>
              </a:srgb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91440" tIns="45720" rIns="91440" bIns="45720" anchor="ctr"/>
          <a:lstStyle/>
          <a:p>
            <a:pPr algn="ctr"/>
            <a:r>
              <a:rPr lang="en-US" altLang="zh-CN" sz="2800" b="1">
                <a:solidFill>
                  <a:srgbClr val="000000"/>
                </a:solidFill>
                <a:latin typeface="Calibri" panose="" pitchFamily="0" charset="0"/>
                <a:ea typeface="Calibri" panose="" pitchFamily="0" charset="0"/>
              </a:rPr>
              <a:t>Form 12BB</a:t>
            </a:r>
          </a:p>
        </xdr:txBody>
      </xdr:sp>
      <xdr:sp macro="" textlink="">
        <xdr:nvSpPr>
          <xdr:cNvPr id="12" name="rect"/>
          <xdr:cNvSpPr/>
        </xdr:nvSpPr>
        <xdr:spPr>
          <a:xfrm>
            <a:off x="8220806" y="19953036"/>
            <a:ext cx="3690498" cy="530658"/>
          </a:xfrm>
          <a:prstGeom prst="rect">
            <a:avLst/>
          </a:prstGeom>
          <a:solidFill>
            <a:srgbClr val="ffff00"/>
          </a:solidFill>
          <a:ln w="9525" cap="flat" cmpd="sng">
            <a:noFill/>
            <a:prstDash val="solid"/>
            <a:miter/>
          </a:ln>
          <a:effectLst>
            <a:outerShdw dist="250190" dir="8460000" kx="0" algn="ctr" rotWithShape="0">
              <a:srgbClr val="000000">
                <a:alpha val="27998"/>
              </a:srgb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91440" tIns="45720" rIns="91440" bIns="45720" anchor="ctr"/>
          <a:lstStyle/>
          <a:p>
            <a:pPr algn="ctr"/>
            <a:r>
              <a:rPr lang="en-US" altLang="zh-CN" sz="2800" b="1">
                <a:solidFill>
                  <a:srgbClr val="000000"/>
                </a:solidFill>
                <a:latin typeface="Calibri" panose="" pitchFamily="0" charset="0"/>
                <a:ea typeface="Calibri" panose="" pitchFamily="0" charset="0"/>
              </a:rPr>
              <a:t>Form 10E</a:t>
            </a:r>
          </a:p>
        </xdr:txBody>
      </xdr:sp>
    </xdr:grpSp>
    <xdr:clientData/>
  </xdr:twoCellAnchor>
  <xdr:twoCellAnchor>
    <xdr:from>
      <xdr:col>5</xdr:col>
      <xdr:colOff>118380</xdr:colOff>
      <xdr:row>14</xdr:row>
      <xdr:rowOff>75783</xdr:rowOff>
    </xdr:from>
    <xdr:to>
      <xdr:col>7</xdr:col>
      <xdr:colOff>829173</xdr:colOff>
      <xdr:row>18</xdr:row>
      <xdr:rowOff>164529</xdr:rowOff>
    </xdr:to>
    <xdr:sp macro="" textlink="">
      <xdr:nvSpPr>
        <xdr:cNvPr id="13" name="rect"/>
        <xdr:cNvSpPr/>
      </xdr:nvSpPr>
      <xdr:spPr>
        <a:xfrm>
          <a:off x="5345905" y="3498597"/>
          <a:ext cx="2976564" cy="1049590"/>
        </a:xfrm>
        <a:prstGeom prst="rect">
          <a:avLst/>
        </a:prstGeom>
        <a:solidFill>
          <a:srgbClr val="4f81bd"/>
        </a:solidFill>
        <a:ln w="9525" cap="flat" cmpd="sng">
          <a:noFill/>
          <a:prstDash val="solid"/>
          <a:miter/>
        </a:ln>
        <a:effectLst>
          <a:outerShdw dist="38100" dir="5400000" kx="0" algn="t" rotWithShape="0">
            <a:srgbClr val="000000">
              <a:alpha val="39998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15</xdr:col>
      <xdr:colOff>32166</xdr:colOff>
      <xdr:row>0</xdr:row>
      <xdr:rowOff>0</xdr:rowOff>
    </xdr:from>
    <xdr:to>
      <xdr:col>20</xdr:col>
      <xdr:colOff>646042</xdr:colOff>
      <xdr:row>85</xdr:row>
      <xdr:rowOff>12650</xdr:rowOff>
    </xdr:to>
    <xdr:sp macro="" textlink="">
      <xdr:nvSpPr>
        <xdr:cNvPr id="14" name="rect"/>
        <xdr:cNvSpPr/>
      </xdr:nvSpPr>
      <xdr:spPr>
        <a:xfrm>
          <a:off x="12507983" y="11205"/>
          <a:ext cx="4937401" cy="22172048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8</xdr:col>
      <xdr:colOff>317408</xdr:colOff>
      <xdr:row>41</xdr:row>
      <xdr:rowOff>49857</xdr:rowOff>
    </xdr:from>
    <xdr:to>
      <xdr:col>11</xdr:col>
      <xdr:colOff>173908</xdr:colOff>
      <xdr:row>43</xdr:row>
      <xdr:rowOff>151566</xdr:rowOff>
    </xdr:to>
    <xdr:sp macro="" textlink="">
      <xdr:nvSpPr>
        <xdr:cNvPr id="15" name="rect"/>
        <xdr:cNvSpPr/>
      </xdr:nvSpPr>
      <xdr:spPr>
        <a:xfrm>
          <a:off x="7973375" y="10095242"/>
          <a:ext cx="2198359" cy="593239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ctr"/>
        <a:lstStyle/>
        <a:p>
          <a:pPr algn="ctr"/>
          <a:r>
            <a:rPr lang="en-US" altLang="zh-CN" sz="1600" b="1">
              <a:solidFill>
                <a:srgbClr val="FFFFCC"/>
              </a:solidFill>
              <a:latin typeface="Calibri" panose="" pitchFamily="0" charset="0"/>
              <a:ea typeface="Calibri" panose="" pitchFamily="0" charset="0"/>
            </a:rPr>
            <a:t>M.Raghunatha Reddy</a:t>
          </a:r>
        </a:p>
        <a:p>
          <a:pPr algn="ctr"/>
          <a:r>
            <a:rPr lang="en-US" altLang="zh-CN" sz="1600" b="1">
              <a:solidFill>
                <a:srgbClr val="FFFFCC"/>
              </a:solidFill>
              <a:latin typeface="+mn-lt" panose="" pitchFamily="0" charset="0"/>
              <a:ea typeface="+mn-lt" panose="" pitchFamily="0" charset="0"/>
            </a:rPr>
            <a:t>State General Secretary</a:t>
          </a:r>
        </a:p>
      </xdr:txBody>
    </xdr:sp>
    <xdr:clientData/>
  </xdr:twoCellAnchor>
  <xdr:twoCellAnchor>
    <xdr:from>
      <xdr:col>6</xdr:col>
      <xdr:colOff>723058</xdr:colOff>
      <xdr:row>34</xdr:row>
      <xdr:rowOff>177492</xdr:rowOff>
    </xdr:from>
    <xdr:to>
      <xdr:col>7</xdr:col>
      <xdr:colOff>1040168</xdr:colOff>
      <xdr:row>41</xdr:row>
      <xdr:rowOff>75783</xdr:rowOff>
    </xdr:to>
    <xdr:pic>
      <xdr:nvPicPr>
        <xdr:cNvPr id="16" name="Picture 10" descr="Raghu.jp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6161133" y="8491957"/>
          <a:ext cx="1425803" cy="1627793"/>
        </a:xfrm>
        <a:prstGeom prst="rect">
          <a:avLst/>
        </a:prstGeom>
        <a:noFill/>
        <a:ln w="28575" cap="flat" cmpd="sng">
          <a:solidFill>
            <a:srgbClr val="000000"/>
          </a:solidFill>
          <a:prstDash val="solid"/>
          <a:miter/>
        </a:ln>
        <a:effectLst/>
      </xdr:spPr>
    </xdr:pic>
    <xdr:clientData/>
  </xdr:twoCellAnchor>
  <xdr:twoCellAnchor>
    <xdr:from>
      <xdr:col>6</xdr:col>
      <xdr:colOff>516999</xdr:colOff>
      <xdr:row>41</xdr:row>
      <xdr:rowOff>49857</xdr:rowOff>
    </xdr:from>
    <xdr:to>
      <xdr:col>8</xdr:col>
      <xdr:colOff>88970</xdr:colOff>
      <xdr:row>43</xdr:row>
      <xdr:rowOff>139600</xdr:rowOff>
    </xdr:to>
    <xdr:sp macro="" textlink="">
      <xdr:nvSpPr>
        <xdr:cNvPr id="17" name="rect"/>
        <xdr:cNvSpPr/>
      </xdr:nvSpPr>
      <xdr:spPr>
        <a:xfrm>
          <a:off x="5954573" y="10083338"/>
          <a:ext cx="1790042" cy="593239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ctr"/>
        <a:lstStyle/>
        <a:p>
          <a:pPr algn="ctr"/>
          <a:r>
            <a:rPr lang="en-US" altLang="zh-CN" sz="1600" b="1">
              <a:solidFill>
                <a:srgbClr val="FFFFCC"/>
              </a:solidFill>
              <a:latin typeface="Calibri" panose="" pitchFamily="0" charset="0"/>
              <a:ea typeface="Calibri" panose="" pitchFamily="0" charset="0"/>
            </a:rPr>
            <a:t>CH.J.Sudheer</a:t>
          </a:r>
          <a:r>
            <a:rPr lang="en-US" altLang="zh-CN" sz="1600" b="1">
              <a:solidFill>
                <a:srgbClr val="FFFFCC"/>
              </a:solidFill>
              <a:latin typeface="Calibri" panose="" pitchFamily="0" charset="0"/>
              <a:ea typeface="Calibri" panose="" pitchFamily="0" charset="0"/>
            </a:rPr>
            <a:t> Babu</a:t>
          </a:r>
        </a:p>
        <a:p>
          <a:pPr algn="ctr"/>
          <a:r>
            <a:rPr lang="en-US" altLang="zh-CN" sz="1600" b="1">
              <a:solidFill>
                <a:srgbClr val="FFFFCC"/>
              </a:solidFill>
              <a:latin typeface="Calibri" panose="" pitchFamily="0" charset="0"/>
              <a:ea typeface="Calibri" panose="" pitchFamily="0" charset="0"/>
            </a:rPr>
            <a:t>State President</a:t>
          </a:r>
        </a:p>
      </xdr:txBody>
    </xdr:sp>
    <xdr:clientData/>
  </xdr:twoCellAnchor>
  <xdr:twoCellAnchor>
    <xdr:from>
      <xdr:col>8</xdr:col>
      <xdr:colOff>609168</xdr:colOff>
      <xdr:row>34</xdr:row>
      <xdr:rowOff>139600</xdr:rowOff>
    </xdr:from>
    <xdr:to>
      <xdr:col>10</xdr:col>
      <xdr:colOff>491243</xdr:colOff>
      <xdr:row>41</xdr:row>
      <xdr:rowOff>62820</xdr:rowOff>
    </xdr:to>
    <xdr:pic>
      <xdr:nvPicPr>
        <xdr:cNvPr id="18" name="Picture 7" descr="Raghu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8265035" y="8455539"/>
          <a:ext cx="1417544" cy="1643890"/>
        </a:xfrm>
        <a:prstGeom prst="rect">
          <a:avLst/>
        </a:prstGeom>
        <a:noFill/>
        <a:ln w="28575" cap="flat" cmpd="sng">
          <a:solidFill>
            <a:srgbClr val="000000"/>
          </a:solidFill>
          <a:prstDash val="solid"/>
          <a:miter/>
        </a:ln>
        <a:effectLst/>
      </xdr:spPr>
    </xdr:pic>
    <xdr:clientData/>
  </xdr:twoCellAnchor>
  <xdr:twoCellAnchor>
    <xdr:from>
      <xdr:col>4</xdr:col>
      <xdr:colOff>830407</xdr:colOff>
      <xdr:row>14</xdr:row>
      <xdr:rowOff>100712</xdr:rowOff>
    </xdr:from>
    <xdr:to>
      <xdr:col>9</xdr:col>
      <xdr:colOff>247414</xdr:colOff>
      <xdr:row>18</xdr:row>
      <xdr:rowOff>0</xdr:rowOff>
    </xdr:to>
    <xdr:grpSp>
      <xdr:nvGrpSpPr>
        <xdr:cNvPr id="19" name=" "/>
        <xdr:cNvGrpSpPr/>
      </xdr:nvGrpSpPr>
      <xdr:grpSpPr>
        <a:xfrm>
          <a:off x="3561664" y="1020952"/>
          <a:ext cx="10836756" cy="10731823"/>
          <a:chOff x="4941093" y="3524250"/>
          <a:chExt cx="3726656" cy="906541"/>
        </a:xfrm>
      </xdr:grpSpPr>
      <xdr:sp macro="" textlink="">
        <xdr:nvSpPr>
          <xdr:cNvPr id="19" name="rect"/>
          <xdr:cNvSpPr/>
        </xdr:nvSpPr>
        <xdr:spPr>
          <a:xfrm>
            <a:off x="4941093" y="3821906"/>
            <a:ext cx="3726656" cy="608885"/>
          </a:xfrm>
          <a:prstGeom prst="rect">
            <a:avLst/>
          </a:prstGeom>
          <a:noFill/>
          <a:ln w="9525" cap="flat" cmpd="sng">
            <a:noFill/>
            <a:prstDash val="solid"/>
            <a:miter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91440" tIns="45720" rIns="91440" bIns="45720" anchor="ctr"/>
          <a:lstStyle/>
          <a:p>
            <a:pPr algn="ctr"/>
            <a:r>
              <a:rPr lang="en-US" altLang="zh-CN" sz="3300" b="1">
                <a:solidFill>
                  <a:srgbClr val="33CCCC"/>
                </a:solidFill>
                <a:latin typeface="Calibri" panose="" pitchFamily="0" charset="0"/>
                <a:ea typeface="Calibri" panose="" pitchFamily="0" charset="0"/>
              </a:rPr>
              <a:t>Rayuduspothan</a:t>
            </a:r>
          </a:p>
        </xdr:txBody>
      </xdr:sp>
      <xdr:sp macro="" textlink="">
        <xdr:nvSpPr>
          <xdr:cNvPr id="20" name="rect"/>
          <xdr:cNvSpPr/>
        </xdr:nvSpPr>
        <xdr:spPr>
          <a:xfrm>
            <a:off x="5107785" y="3524250"/>
            <a:ext cx="1893093" cy="342786"/>
          </a:xfrm>
          <a:prstGeom prst="rect">
            <a:avLst/>
          </a:prstGeom>
          <a:noFill/>
          <a:ln w="9525" cap="flat" cmpd="sng">
            <a:noFill/>
            <a:prstDash val="solid"/>
            <a:miter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91440" tIns="45720" rIns="91440" bIns="45720" anchor="ctr"/>
          <a:lstStyle/>
          <a:p>
            <a:pPr algn="ctr"/>
            <a:r>
              <a:rPr lang="en-US" altLang="zh-CN" sz="1600" b="1">
                <a:solidFill>
                  <a:srgbClr val="FFFFCC"/>
                </a:solidFill>
                <a:latin typeface="Calibri" panose="" pitchFamily="0" charset="0"/>
                <a:ea typeface="Calibri" panose="" pitchFamily="0" charset="0"/>
              </a:rPr>
              <a:t>Developed by</a:t>
            </a:r>
          </a:p>
        </xdr:txBody>
      </xdr:sp>
    </xdr:grpSp>
    <xdr:clientData/>
  </xdr:twoCellAnchor>
  <xdr:twoCellAnchor>
    <xdr:from>
      <xdr:col>1</xdr:col>
      <xdr:colOff>6265</xdr:colOff>
      <xdr:row>59</xdr:row>
      <xdr:rowOff>0</xdr:rowOff>
    </xdr:from>
    <xdr:to>
      <xdr:col>5</xdr:col>
      <xdr:colOff>225631</xdr:colOff>
      <xdr:row>62</xdr:row>
      <xdr:rowOff>37891</xdr:rowOff>
    </xdr:to>
    <xdr:sp macro="" textlink="">
      <xdr:nvSpPr>
        <xdr:cNvPr id="21" name="rect"/>
        <xdr:cNvSpPr/>
      </xdr:nvSpPr>
      <xdr:spPr>
        <a:xfrm>
          <a:off x="357186" y="14728031"/>
          <a:ext cx="5095875" cy="928688"/>
        </a:xfrm>
        <a:prstGeom prst="rect">
          <a:avLst/>
        </a:prstGeom>
        <a:solidFill>
          <a:srgbClr val="4f81bd"/>
        </a:solidFill>
        <a:ln w="9525" cap="flat" cmpd="sng">
          <a:solidFill>
            <a:srgbClr val="4f81bd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344269</xdr:colOff>
      <xdr:row>58</xdr:row>
      <xdr:rowOff>0</xdr:rowOff>
    </xdr:from>
    <xdr:to>
      <xdr:col>6</xdr:col>
      <xdr:colOff>20976</xdr:colOff>
      <xdr:row>59</xdr:row>
      <xdr:rowOff>0</xdr:rowOff>
    </xdr:to>
    <xdr:sp macro="" textlink="">
      <xdr:nvSpPr>
        <xdr:cNvPr id="22" name=" "/>
        <xdr:cNvSpPr txBox="1"/>
      </xdr:nvSpPr>
      <xdr:spPr>
        <a:xfrm>
          <a:off x="345279" y="14406562"/>
          <a:ext cx="5131596" cy="333375"/>
        </a:xfrm>
        <a:prstGeom prst="rect">
          <a:avLst/>
        </a:prstGeom>
        <a:solidFill>
          <a:srgbClr val="ffff00"/>
        </a:solidFill>
        <a:ln w="9525" cap="flat" cmpd="sng">
          <a:solidFill>
            <a:srgbClr val="bcbcbc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ctr"/>
        <a:lstStyle/>
        <a:p>
          <a:pPr algn="ctr"/>
          <a:r>
            <a:rPr lang="en-US" altLang="zh-CN" sz="2000" b="1">
              <a:solidFill>
                <a:srgbClr val="FF0000"/>
              </a:solidFill>
              <a:latin typeface="Calibri" panose="" pitchFamily="0" charset="0"/>
              <a:ea typeface="Calibri" panose="" pitchFamily="0" charset="0"/>
            </a:rPr>
            <a:t>Mentions DA &amp; PRC Arrears  manually</a:t>
          </a:r>
        </a:p>
      </xdr:txBody>
    </xdr:sp>
    <xdr:clientData/>
  </xdr:twoCellAnchor>
  <xdr:twoCellAnchor>
    <xdr:from>
      <xdr:col>11</xdr:col>
      <xdr:colOff>479958</xdr:colOff>
      <xdr:row>34</xdr:row>
      <xdr:rowOff>164529</xdr:rowOff>
    </xdr:from>
    <xdr:to>
      <xdr:col>13</xdr:col>
      <xdr:colOff>581104</xdr:colOff>
      <xdr:row>41</xdr:row>
      <xdr:rowOff>49857</xdr:rowOff>
    </xdr:to>
    <xdr:pic>
      <xdr:nvPicPr>
        <xdr:cNvPr id="23" name="Picture 2" descr="PPP.jpg"/>
        <xdr:cNvPicPr/>
      </xdr:nvPicPr>
      <xdr:blipFill>
        <a:blip xmlns:r="http://schemas.openxmlformats.org/officeDocument/2006/relationships" r:embed="rId5"/>
        <a:srcRect r="6359" l="6917" t="5702" b="6956"/>
        <a:stretch>
          <a:fillRect/>
        </a:stretch>
      </xdr:blipFill>
      <xdr:spPr>
        <a:xfrm>
          <a:off x="10477345" y="8482761"/>
          <a:ext cx="1389683" cy="1602534"/>
        </a:xfrm>
        <a:prstGeom prst="rect">
          <a:avLst/>
        </a:prstGeom>
        <a:noFill/>
        <a:ln w="28575" cap="flat" cmpd="sng">
          <a:solidFill>
            <a:srgbClr val="000000"/>
          </a:solidFill>
          <a:prstDash val="solid"/>
          <a:miter/>
        </a:ln>
        <a:effectLst/>
      </xdr:spPr>
    </xdr:pic>
    <xdr:clientData/>
  </xdr:twoCellAnchor>
  <xdr:twoCellAnchor>
    <xdr:from>
      <xdr:col>4</xdr:col>
      <xdr:colOff>545378</xdr:colOff>
      <xdr:row>44</xdr:row>
      <xdr:rowOff>215384</xdr:rowOff>
    </xdr:from>
    <xdr:to>
      <xdr:col>13</xdr:col>
      <xdr:colOff>365805</xdr:colOff>
      <xdr:row>45</xdr:row>
      <xdr:rowOff>88746</xdr:rowOff>
    </xdr:to>
    <xdr:sp macro="" textlink="">
      <xdr:nvSpPr>
        <xdr:cNvPr id="24" name="rect"/>
        <xdr:cNvSpPr/>
      </xdr:nvSpPr>
      <xdr:spPr>
        <a:xfrm>
          <a:off x="4650442" y="10990313"/>
          <a:ext cx="10517799" cy="34278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ctr"/>
        <a:lstStyle/>
        <a:p>
          <a:pPr algn="ctr"/>
          <a:r>
            <a:rPr lang="en-US" altLang="zh-CN" sz="1600" b="1">
              <a:solidFill>
                <a:srgbClr val="FFFFFF"/>
              </a:solidFill>
              <a:latin typeface="Calibri" panose="" pitchFamily="0" charset="0"/>
              <a:ea typeface="Calibri" panose="" pitchFamily="0" charset="0"/>
            </a:rPr>
            <a:t>Contact :9492692500, stuapkadapa@gmail.com</a:t>
          </a:r>
        </a:p>
      </xdr:txBody>
    </xdr:sp>
    <xdr:clientData/>
  </xdr:twoCellAnchor>
  <xdr:twoCellAnchor>
    <xdr:from>
      <xdr:col>1</xdr:col>
      <xdr:colOff>981593</xdr:colOff>
      <xdr:row>59</xdr:row>
      <xdr:rowOff>214758</xdr:rowOff>
    </xdr:from>
    <xdr:to>
      <xdr:col>7</xdr:col>
      <xdr:colOff>523168</xdr:colOff>
      <xdr:row>63</xdr:row>
      <xdr:rowOff>139600</xdr:rowOff>
    </xdr:to>
    <xdr:sp macro="" textlink="">
      <xdr:nvSpPr>
        <xdr:cNvPr id="25" name="downArrowCallout"/>
        <xdr:cNvSpPr/>
      </xdr:nvSpPr>
      <xdr:spPr>
        <a:xfrm>
          <a:off x="1333500" y="14769353"/>
          <a:ext cx="5737412" cy="1030941"/>
        </a:xfrm>
        <a:prstGeom prst="downArrowCallout">
          <a:avLst/>
        </a:prstGeom>
        <a:solidFill>
          <a:srgbClr val="ffff00"/>
        </a:solidFill>
        <a:ln w="9525" cap="flat" cmpd="sng">
          <a:solidFill>
            <a:srgbClr val="ffff00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ctr"/>
        <a:lstStyle/>
        <a:p>
          <a:pPr algn="ctr"/>
          <a:r>
            <a:rPr lang="en-US" altLang="zh-CN" sz="2800" b="1">
              <a:solidFill>
                <a:srgbClr val="FFFFFF"/>
              </a:solidFill>
              <a:latin typeface="+mn-lt" panose="" pitchFamily="0" charset="0"/>
              <a:ea typeface="+mn-lt" panose="" pitchFamily="0" charset="0"/>
            </a:rPr>
            <a:t>Section 80DD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312331</xdr:colOff>
      <xdr:row>2</xdr:row>
      <xdr:rowOff>0</xdr:rowOff>
    </xdr:from>
    <xdr:to>
      <xdr:col>27</xdr:col>
      <xdr:colOff>265075</xdr:colOff>
      <xdr:row>16</xdr:row>
      <xdr:rowOff>125908</xdr:rowOff>
    </xdr:to>
    <xdr:sp macro="" textlink="">
      <xdr:nvSpPr>
        <xdr:cNvPr id="2" name="rect"/>
        <xdr:cNvSpPr/>
      </xdr:nvSpPr>
      <xdr:spPr>
        <a:xfrm>
          <a:off x="11506200" y="409575"/>
          <a:ext cx="561975" cy="3476625"/>
        </a:xfrm>
        <a:prstGeom prst="rect">
          <a:avLst/>
        </a:prstGeom>
        <a:solidFill>
          <a:srgbClr val="ffff00"/>
        </a:solidFill>
        <a:ln w="9525" cap="flat" cmpd="sng">
          <a:noFill/>
          <a:prstDash val="solid"/>
          <a:miter/>
        </a:ln>
        <a:effectLst>
          <a:outerShdw dist="250190" dir="8460000" kx="0" algn="ctr" rotWithShape="0">
            <a:srgbClr val="000000">
              <a:alpha val="27998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ctr"/>
        <a:lstStyle/>
        <a:p>
          <a:pPr algn="ctr"/>
          <a:r>
            <a:rPr lang="en-US" altLang="zh-CN" sz="27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DATA</a:t>
          </a:r>
          <a:r>
            <a:rPr lang="en-US" altLang="zh-CN" sz="27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PAGE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417099</xdr:colOff>
      <xdr:row>13</xdr:row>
      <xdr:rowOff>126608</xdr:rowOff>
    </xdr:from>
    <xdr:to>
      <xdr:col>13</xdr:col>
      <xdr:colOff>369555</xdr:colOff>
      <xdr:row>33</xdr:row>
      <xdr:rowOff>75545</xdr:rowOff>
    </xdr:to>
    <xdr:sp macro="" textlink="">
      <xdr:nvSpPr>
        <xdr:cNvPr id="2" name="rect"/>
        <xdr:cNvSpPr/>
      </xdr:nvSpPr>
      <xdr:spPr>
        <a:xfrm>
          <a:off x="7305675" y="2543175"/>
          <a:ext cx="561975" cy="3476625"/>
        </a:xfrm>
        <a:prstGeom prst="rect">
          <a:avLst/>
        </a:prstGeom>
        <a:solidFill>
          <a:srgbClr val="ffff00"/>
        </a:solidFill>
        <a:ln w="9525" cap="flat" cmpd="sng">
          <a:noFill/>
          <a:prstDash val="solid"/>
          <a:miter/>
        </a:ln>
        <a:effectLst>
          <a:outerShdw dist="250190" dir="8460000" kx="0" algn="ctr" rotWithShape="0">
            <a:srgbClr val="000000">
              <a:alpha val="27998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ctr"/>
        <a:lstStyle/>
        <a:p>
          <a:pPr algn="ctr"/>
          <a:r>
            <a:rPr lang="en-US" altLang="zh-CN" sz="27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DATA</a:t>
          </a:r>
          <a:r>
            <a:rPr lang="en-US" altLang="zh-CN" sz="27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PAGE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388752</xdr:colOff>
      <xdr:row>15</xdr:row>
      <xdr:rowOff>0</xdr:rowOff>
    </xdr:from>
    <xdr:to>
      <xdr:col>14</xdr:col>
      <xdr:colOff>341508</xdr:colOff>
      <xdr:row>34</xdr:row>
      <xdr:rowOff>0</xdr:rowOff>
    </xdr:to>
    <xdr:sp macro="" textlink="">
      <xdr:nvSpPr>
        <xdr:cNvPr id="2" name="rect"/>
        <xdr:cNvSpPr/>
      </xdr:nvSpPr>
      <xdr:spPr>
        <a:xfrm>
          <a:off x="7362825" y="2790825"/>
          <a:ext cx="561975" cy="3476625"/>
        </a:xfrm>
        <a:prstGeom prst="rect">
          <a:avLst/>
        </a:prstGeom>
        <a:solidFill>
          <a:srgbClr val="ffff00"/>
        </a:solidFill>
        <a:ln w="9525" cap="flat" cmpd="sng">
          <a:noFill/>
          <a:prstDash val="solid"/>
          <a:miter/>
        </a:ln>
        <a:effectLst>
          <a:outerShdw dist="250190" dir="8460000" kx="0" algn="ctr" rotWithShape="0">
            <a:srgbClr val="000000">
              <a:alpha val="27998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ctr"/>
        <a:lstStyle/>
        <a:p>
          <a:pPr algn="ctr"/>
          <a:r>
            <a:rPr lang="en-US" altLang="zh-CN" sz="27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DATA</a:t>
          </a:r>
          <a:r>
            <a:rPr lang="en-US" altLang="zh-CN" sz="27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PAGE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321930</xdr:colOff>
      <xdr:row>15</xdr:row>
      <xdr:rowOff>63251</xdr:rowOff>
    </xdr:from>
    <xdr:to>
      <xdr:col>13</xdr:col>
      <xdr:colOff>274674</xdr:colOff>
      <xdr:row>35</xdr:row>
      <xdr:rowOff>50601</xdr:rowOff>
    </xdr:to>
    <xdr:sp macro="" textlink="">
      <xdr:nvSpPr>
        <xdr:cNvPr id="2" name="rect"/>
        <xdr:cNvSpPr/>
      </xdr:nvSpPr>
      <xdr:spPr>
        <a:xfrm>
          <a:off x="7219950" y="2724150"/>
          <a:ext cx="561975" cy="3476625"/>
        </a:xfrm>
        <a:prstGeom prst="rect">
          <a:avLst/>
        </a:prstGeom>
        <a:solidFill>
          <a:srgbClr val="ffff00"/>
        </a:solidFill>
        <a:ln w="9525" cap="flat" cmpd="sng">
          <a:noFill/>
          <a:prstDash val="solid"/>
          <a:miter/>
        </a:ln>
        <a:effectLst>
          <a:outerShdw dist="250190" dir="8460000" kx="0" algn="ctr" rotWithShape="0">
            <a:srgbClr val="000000">
              <a:alpha val="27998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ctr"/>
        <a:lstStyle/>
        <a:p>
          <a:pPr algn="ctr"/>
          <a:r>
            <a:rPr lang="en-US" altLang="zh-CN" sz="27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DATA</a:t>
          </a:r>
          <a:r>
            <a:rPr lang="en-US" altLang="zh-CN" sz="27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PAGE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502814</xdr:colOff>
      <xdr:row>12</xdr:row>
      <xdr:rowOff>12650</xdr:rowOff>
    </xdr:from>
    <xdr:to>
      <xdr:col>33</xdr:col>
      <xdr:colOff>455569</xdr:colOff>
      <xdr:row>30</xdr:row>
      <xdr:rowOff>50601</xdr:rowOff>
    </xdr:to>
    <xdr:sp macro="" textlink="">
      <xdr:nvSpPr>
        <xdr:cNvPr id="2" name="rect"/>
        <xdr:cNvSpPr/>
      </xdr:nvSpPr>
      <xdr:spPr>
        <a:xfrm>
          <a:off x="6600825" y="2562225"/>
          <a:ext cx="561975" cy="3476625"/>
        </a:xfrm>
        <a:prstGeom prst="rect">
          <a:avLst/>
        </a:prstGeom>
        <a:solidFill>
          <a:srgbClr val="ffff00"/>
        </a:solidFill>
        <a:ln w="9525" cap="flat" cmpd="sng">
          <a:noFill/>
          <a:prstDash val="solid"/>
          <a:miter/>
        </a:ln>
        <a:effectLst>
          <a:outerShdw dist="250190" dir="8460000" kx="0" algn="ctr" rotWithShape="0">
            <a:srgbClr val="000000">
              <a:alpha val="27998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ctr"/>
        <a:lstStyle/>
        <a:p>
          <a:pPr algn="ctr"/>
          <a:r>
            <a:rPr lang="en-US" altLang="zh-CN" sz="27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DATA</a:t>
          </a:r>
          <a:r>
            <a:rPr lang="en-US" altLang="zh-CN" sz="27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PAGE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483633</xdr:colOff>
      <xdr:row>5</xdr:row>
      <xdr:rowOff>0</xdr:rowOff>
    </xdr:from>
    <xdr:to>
      <xdr:col>26</xdr:col>
      <xdr:colOff>436377</xdr:colOff>
      <xdr:row>20</xdr:row>
      <xdr:rowOff>126503</xdr:rowOff>
    </xdr:to>
    <xdr:sp macro="" textlink="">
      <xdr:nvSpPr>
        <xdr:cNvPr id="2" name="rect"/>
        <xdr:cNvSpPr/>
      </xdr:nvSpPr>
      <xdr:spPr>
        <a:xfrm>
          <a:off x="8353425" y="1047750"/>
          <a:ext cx="561975" cy="3476625"/>
        </a:xfrm>
        <a:prstGeom prst="rect">
          <a:avLst/>
        </a:prstGeom>
        <a:solidFill>
          <a:srgbClr val="ffff00"/>
        </a:solidFill>
        <a:ln w="9525" cap="flat" cmpd="sng">
          <a:noFill/>
          <a:prstDash val="solid"/>
          <a:miter/>
        </a:ln>
        <a:effectLst>
          <a:outerShdw dist="250190" dir="8460000" kx="0" algn="ctr" rotWithShape="0">
            <a:srgbClr val="000000">
              <a:alpha val="27998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ctr"/>
        <a:lstStyle/>
        <a:p>
          <a:pPr algn="ctr"/>
          <a:r>
            <a:rPr lang="en-US" altLang="zh-CN" sz="27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DATA</a:t>
          </a:r>
          <a:r>
            <a:rPr lang="en-US" altLang="zh-CN" sz="27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PAGE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652940</xdr:colOff>
      <xdr:row>1</xdr:row>
      <xdr:rowOff>25151</xdr:rowOff>
    </xdr:from>
    <xdr:to>
      <xdr:col>5</xdr:col>
      <xdr:colOff>799922</xdr:colOff>
      <xdr:row>1</xdr:row>
      <xdr:rowOff>25151</xdr:rowOff>
    </xdr:to>
    <xdr:pic>
      <xdr:nvPicPr>
        <xdr:cNvPr id="2" name="Picture 2" descr="watc-you-tube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8518" y="111065"/>
          <a:ext cx="3236" cy="45288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650652</xdr:colOff>
      <xdr:row>1</xdr:row>
      <xdr:rowOff>25151</xdr:rowOff>
    </xdr:from>
    <xdr:to>
      <xdr:col>6</xdr:col>
      <xdr:colOff>797574</xdr:colOff>
      <xdr:row>1</xdr:row>
      <xdr:rowOff>25151</xdr:rowOff>
    </xdr:to>
    <xdr:pic>
      <xdr:nvPicPr>
        <xdr:cNvPr id="3" name="Picture 3" descr="watc-you-tube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8518" y="111065"/>
          <a:ext cx="3236" cy="45288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381000</xdr:colOff>
      <xdr:row>8</xdr:row>
      <xdr:rowOff>190455</xdr:rowOff>
    </xdr:from>
    <xdr:to>
      <xdr:col>8</xdr:col>
      <xdr:colOff>331529</xdr:colOff>
      <xdr:row>26</xdr:row>
      <xdr:rowOff>25300</xdr:rowOff>
    </xdr:to>
    <xdr:sp macro="" textlink="">
      <xdr:nvSpPr>
        <xdr:cNvPr id="4" name="rect"/>
        <xdr:cNvSpPr/>
      </xdr:nvSpPr>
      <xdr:spPr>
        <a:xfrm>
          <a:off x="7639050" y="1876425"/>
          <a:ext cx="561975" cy="3476625"/>
        </a:xfrm>
        <a:prstGeom prst="rect">
          <a:avLst/>
        </a:prstGeom>
        <a:solidFill>
          <a:srgbClr val="ffff00"/>
        </a:solidFill>
        <a:ln w="9525" cap="flat" cmpd="sng">
          <a:noFill/>
          <a:prstDash val="solid"/>
          <a:miter/>
        </a:ln>
        <a:effectLst>
          <a:outerShdw dist="250190" dir="8460000" kx="0" algn="ctr" rotWithShape="0">
            <a:srgbClr val="000000">
              <a:alpha val="27998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ctr"/>
        <a:lstStyle/>
        <a:p>
          <a:pPr algn="ctr"/>
          <a:r>
            <a:rPr lang="en-US" altLang="zh-CN" sz="27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DATA</a:t>
          </a:r>
          <a:r>
            <a:rPr lang="en-US" altLang="zh-CN" sz="27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PAGE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455575</xdr:colOff>
      <xdr:row>14</xdr:row>
      <xdr:rowOff>0</xdr:rowOff>
    </xdr:from>
    <xdr:to>
      <xdr:col>13</xdr:col>
      <xdr:colOff>407650</xdr:colOff>
      <xdr:row>32</xdr:row>
      <xdr:rowOff>50601</xdr:rowOff>
    </xdr:to>
    <xdr:sp macro="" textlink="">
      <xdr:nvSpPr>
        <xdr:cNvPr id="2" name="rect"/>
        <xdr:cNvSpPr/>
      </xdr:nvSpPr>
      <xdr:spPr>
        <a:xfrm>
          <a:off x="7534275" y="2743200"/>
          <a:ext cx="561975" cy="3476625"/>
        </a:xfrm>
        <a:prstGeom prst="rect">
          <a:avLst/>
        </a:prstGeom>
        <a:solidFill>
          <a:srgbClr val="ffff00"/>
        </a:solidFill>
        <a:ln w="9525" cap="flat" cmpd="sng">
          <a:noFill/>
          <a:prstDash val="solid"/>
          <a:miter/>
        </a:ln>
        <a:effectLst>
          <a:outerShdw dist="250190" dir="8460000" kx="0" algn="ctr" rotWithShape="0">
            <a:srgbClr val="000000">
              <a:alpha val="27998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ctr"/>
        <a:lstStyle/>
        <a:p>
          <a:pPr algn="ctr"/>
          <a:r>
            <a:rPr lang="en-US" altLang="zh-CN" sz="27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DATA</a:t>
          </a:r>
          <a:r>
            <a:rPr lang="en-US" altLang="zh-CN" sz="27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PAGE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360406</xdr:colOff>
      <xdr:row>15</xdr:row>
      <xdr:rowOff>75641</xdr:rowOff>
    </xdr:from>
    <xdr:to>
      <xdr:col>12</xdr:col>
      <xdr:colOff>312487</xdr:colOff>
      <xdr:row>34</xdr:row>
      <xdr:rowOff>101091</xdr:rowOff>
    </xdr:to>
    <xdr:sp macro="" textlink="">
      <xdr:nvSpPr>
        <xdr:cNvPr id="2" name="rect"/>
        <xdr:cNvSpPr/>
      </xdr:nvSpPr>
      <xdr:spPr>
        <a:xfrm>
          <a:off x="7334250" y="2790825"/>
          <a:ext cx="561975" cy="3476625"/>
        </a:xfrm>
        <a:prstGeom prst="rect">
          <a:avLst/>
        </a:prstGeom>
        <a:solidFill>
          <a:srgbClr val="ffff00"/>
        </a:solidFill>
        <a:ln w="9525" cap="flat" cmpd="sng">
          <a:noFill/>
          <a:prstDash val="solid"/>
          <a:miter/>
        </a:ln>
        <a:effectLst>
          <a:outerShdw dist="250190" dir="8460000" kx="0" algn="ctr" rotWithShape="0">
            <a:srgbClr val="000000">
              <a:alpha val="27998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ctr"/>
        <a:lstStyle/>
        <a:p>
          <a:pPr algn="ctr"/>
          <a:r>
            <a:rPr lang="en-US" altLang="zh-CN" sz="27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DATA</a:t>
          </a:r>
          <a:r>
            <a:rPr lang="en-US" altLang="zh-CN" sz="27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PAGE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://www.stuapkdp.blogspot.com/" TargetMode="Externa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:r="http://schemas.openxmlformats.org/officeDocument/2006/relationships" xmlns="http://schemas.openxmlformats.org/spreadsheetml/2006/main">
  <sheetPr>
    <tabColor rgb="FF00B0F0"/>
  </sheetPr>
  <dimension ref="A1:W48"/>
  <sheetViews>
    <sheetView tabSelected="1" workbookViewId="0" showGridLines="0" showRowColHeaders="0" zoomScale="30">
      <selection activeCell="A1" sqref="A1:H1"/>
    </sheetView>
  </sheetViews>
  <sheetFormatPr defaultRowHeight="12.75" defaultColWidth="10"/>
  <cols>
    <col min="1" max="1" customWidth="1" width="10.0" style="1"/>
    <col min="2" max="2" customWidth="1" width="11.7109375" style="1"/>
    <col min="3" max="3" customWidth="1" width="15.140625" style="1"/>
    <col min="4" max="4" customWidth="1" width="12.855469" style="1"/>
    <col min="5" max="5" customWidth="1" width="12.285156" style="1"/>
    <col min="6" max="6" customWidth="1" width="11.7109375" style="1"/>
    <col min="7" max="7" customWidth="1" width="9.425781" style="1"/>
    <col min="8" max="8" customWidth="1" width="16.285156" style="1"/>
    <col min="9" max="9" customWidth="1" width="4.0" style="1"/>
    <col min="10" max="10" customWidth="1" width="2.7109375" style="1"/>
    <col min="11" max="18" customWidth="0" width="9.140625" style="1"/>
    <col min="19" max="19" customWidth="1" width="5.7109375" style="1"/>
    <col min="20" max="20" customWidth="1" width="2.8554688" style="1"/>
    <col min="21" max="16384" customWidth="0" width="9.140625" style="1"/>
  </cols>
  <sheetData>
    <row r="1" spans="8:8" s="2" ht="85.5" customFormat="1" customHeight="1">
      <c r="A1" s="3" t="s">
        <v>800</v>
      </c>
      <c r="B1" s="4"/>
      <c r="C1" s="4"/>
      <c r="D1" s="4"/>
      <c r="E1" s="4"/>
      <c r="F1" s="4"/>
      <c r="G1" s="4"/>
      <c r="H1" s="4"/>
    </row>
    <row r="2" spans="8:8" ht="20.1" customHeight="1">
      <c r="A2" s="5" t="s">
        <v>718</v>
      </c>
      <c r="B2" s="6"/>
      <c r="C2" s="6"/>
      <c r="D2" s="6"/>
      <c r="E2" s="6"/>
      <c r="F2" s="6"/>
      <c r="G2" s="6"/>
      <c r="H2" s="7"/>
      <c r="J2" s="8"/>
      <c r="K2" s="9" t="s">
        <v>797</v>
      </c>
      <c r="L2" s="9"/>
      <c r="M2" s="9"/>
      <c r="N2" s="9"/>
      <c r="O2" s="9"/>
      <c r="P2" s="9"/>
      <c r="Q2" s="9"/>
      <c r="R2" s="9"/>
      <c r="S2" s="9"/>
      <c r="T2" s="8"/>
    </row>
    <row r="3" spans="8:8" ht="15.0" customHeight="1">
      <c r="A3" s="10" t="s">
        <v>719</v>
      </c>
      <c r="B3" s="11"/>
      <c r="C3" s="12"/>
      <c r="D3" s="13"/>
      <c r="E3" s="10" t="s">
        <v>720</v>
      </c>
      <c r="F3" s="11"/>
      <c r="G3" s="12"/>
      <c r="H3" s="13"/>
      <c r="J3" s="8"/>
      <c r="K3" s="14" t="s">
        <v>791</v>
      </c>
      <c r="L3" s="14"/>
      <c r="M3" s="14"/>
      <c r="N3" s="14"/>
      <c r="O3" s="14"/>
      <c r="P3" s="14"/>
      <c r="Q3" s="14"/>
      <c r="R3" s="14"/>
      <c r="S3" s="14"/>
      <c r="T3" s="8"/>
    </row>
    <row r="4" spans="8:8" ht="15.0" customHeight="1">
      <c r="A4" s="10" t="s">
        <v>721</v>
      </c>
      <c r="B4" s="11"/>
      <c r="C4" s="12"/>
      <c r="D4" s="13"/>
      <c r="E4" s="10" t="s">
        <v>722</v>
      </c>
      <c r="F4" s="11"/>
      <c r="G4" s="12"/>
      <c r="H4" s="13"/>
      <c r="J4" s="8"/>
      <c r="K4" s="15"/>
      <c r="L4" s="15"/>
      <c r="M4" s="15"/>
      <c r="N4" s="15"/>
      <c r="O4" s="15"/>
      <c r="P4" s="15"/>
      <c r="Q4" s="15"/>
      <c r="R4" s="15"/>
      <c r="S4" s="15"/>
      <c r="T4" s="8"/>
    </row>
    <row r="5" spans="8:8" ht="15.0" customHeight="1">
      <c r="A5" s="10" t="s">
        <v>723</v>
      </c>
      <c r="B5" s="11"/>
      <c r="C5" s="12"/>
      <c r="D5" s="13"/>
      <c r="E5" s="10" t="s">
        <v>724</v>
      </c>
      <c r="F5" s="11"/>
      <c r="G5" s="12"/>
      <c r="H5" s="13"/>
      <c r="J5" s="8"/>
      <c r="K5" s="16" t="s">
        <v>798</v>
      </c>
      <c r="L5" s="16"/>
      <c r="M5" s="16"/>
      <c r="N5" s="16"/>
      <c r="O5" s="16"/>
      <c r="P5" s="16"/>
      <c r="Q5" s="16"/>
      <c r="R5" s="16"/>
      <c r="S5" s="16"/>
      <c r="T5" s="8"/>
    </row>
    <row r="6" spans="8:8" ht="15.0" customHeight="1">
      <c r="A6" s="10" t="s">
        <v>725</v>
      </c>
      <c r="B6" s="11"/>
      <c r="C6" s="12"/>
      <c r="D6" s="13"/>
      <c r="E6" s="10" t="s">
        <v>726</v>
      </c>
      <c r="F6" s="11"/>
      <c r="G6" s="12"/>
      <c r="H6" s="13"/>
      <c r="J6" s="8"/>
      <c r="K6" s="15"/>
      <c r="L6" s="15"/>
      <c r="M6" s="15"/>
      <c r="N6" s="15"/>
      <c r="O6" s="15"/>
      <c r="P6" s="15"/>
      <c r="Q6" s="15"/>
      <c r="R6" s="15"/>
      <c r="S6" s="15"/>
      <c r="T6" s="8"/>
    </row>
    <row r="7" spans="8:8" ht="15.0" customHeight="1">
      <c r="A7" s="10" t="s">
        <v>727</v>
      </c>
      <c r="B7" s="11"/>
      <c r="C7" s="12"/>
      <c r="D7" s="13"/>
      <c r="E7" s="10" t="s">
        <v>728</v>
      </c>
      <c r="F7" s="11"/>
      <c r="G7" s="12"/>
      <c r="H7" s="13"/>
      <c r="J7" s="8"/>
      <c r="K7" s="14" t="s">
        <v>794</v>
      </c>
      <c r="L7" s="14"/>
      <c r="M7" s="14"/>
      <c r="N7" s="14"/>
      <c r="O7" s="14"/>
      <c r="P7" s="14"/>
      <c r="Q7" s="14"/>
      <c r="R7" s="14"/>
      <c r="S7" s="14"/>
      <c r="T7" s="8"/>
    </row>
    <row r="8" spans="8:8" ht="20.1" customHeight="1">
      <c r="A8" s="5" t="s">
        <v>729</v>
      </c>
      <c r="B8" s="6"/>
      <c r="C8" s="6"/>
      <c r="D8" s="6"/>
      <c r="E8" s="6"/>
      <c r="F8" s="6"/>
      <c r="G8" s="6"/>
      <c r="H8" s="7"/>
      <c r="J8" s="8"/>
      <c r="K8" s="15"/>
      <c r="L8" s="15"/>
      <c r="M8" s="15"/>
      <c r="N8" s="15"/>
      <c r="O8" s="15"/>
      <c r="P8" s="15"/>
      <c r="Q8" s="15"/>
      <c r="R8" s="15"/>
      <c r="S8" s="15"/>
      <c r="T8" s="8"/>
    </row>
    <row r="9" spans="8:8" ht="24.75" customHeight="1">
      <c r="A9" s="10" t="s">
        <v>730</v>
      </c>
      <c r="B9" s="17"/>
      <c r="C9" s="18"/>
      <c r="D9" s="19"/>
      <c r="E9" s="10" t="s">
        <v>731</v>
      </c>
      <c r="F9" s="11"/>
      <c r="G9" s="12"/>
      <c r="H9" s="13"/>
      <c r="J9" s="8"/>
      <c r="K9" s="14" t="s">
        <v>795</v>
      </c>
      <c r="L9" s="14"/>
      <c r="M9" s="14"/>
      <c r="N9" s="14"/>
      <c r="O9" s="14"/>
      <c r="P9" s="14"/>
      <c r="Q9" s="14"/>
      <c r="R9" s="14"/>
      <c r="S9" s="14"/>
      <c r="T9" s="8"/>
    </row>
    <row r="10" spans="8:8" ht="25.5" customHeight="1">
      <c r="A10" s="10" t="s">
        <v>732</v>
      </c>
      <c r="B10" s="17"/>
      <c r="C10" s="18"/>
      <c r="D10" s="19"/>
      <c r="E10" s="10" t="s">
        <v>733</v>
      </c>
      <c r="F10" s="11"/>
      <c r="G10" s="20"/>
      <c r="H10" s="21"/>
      <c r="J10" s="8"/>
      <c r="K10" s="15"/>
      <c r="L10" s="15"/>
      <c r="M10" s="15"/>
      <c r="N10" s="15"/>
      <c r="O10" s="15"/>
      <c r="P10" s="15"/>
      <c r="Q10" s="15"/>
      <c r="R10" s="15"/>
      <c r="S10" s="15"/>
      <c r="T10" s="8"/>
    </row>
    <row r="11" spans="8:8" ht="15.0" customHeight="1">
      <c r="A11" s="22" t="s">
        <v>734</v>
      </c>
      <c r="B11" s="23"/>
      <c r="C11" s="24"/>
      <c r="D11" s="25"/>
      <c r="E11" s="22" t="s">
        <v>735</v>
      </c>
      <c r="F11" s="23"/>
      <c r="G11" s="26"/>
      <c r="H11" s="27"/>
      <c r="J11" s="8"/>
      <c r="K11" s="14" t="s">
        <v>796</v>
      </c>
      <c r="L11" s="14"/>
      <c r="M11" s="14"/>
      <c r="N11" s="14"/>
      <c r="O11" s="14"/>
      <c r="P11" s="14"/>
      <c r="Q11" s="14"/>
      <c r="R11" s="14"/>
      <c r="S11" s="14"/>
      <c r="T11" s="8"/>
    </row>
    <row r="12" spans="8:8" ht="15.0" customHeight="1">
      <c r="A12" s="22" t="s">
        <v>736</v>
      </c>
      <c r="B12" s="23"/>
      <c r="C12" s="24"/>
      <c r="D12" s="25"/>
      <c r="E12" s="22" t="s">
        <v>737</v>
      </c>
      <c r="F12" s="23"/>
      <c r="G12" s="26"/>
      <c r="H12" s="27"/>
      <c r="J12" s="8"/>
      <c r="K12" s="14"/>
      <c r="L12" s="14"/>
      <c r="M12" s="14"/>
      <c r="N12" s="14"/>
      <c r="O12" s="14"/>
      <c r="P12" s="14"/>
      <c r="Q12" s="14"/>
      <c r="R12" s="14"/>
      <c r="S12" s="14"/>
      <c r="T12" s="8"/>
    </row>
    <row r="13" spans="8:8" ht="15.0" customHeight="1">
      <c r="A13" s="10" t="s">
        <v>738</v>
      </c>
      <c r="B13" s="11"/>
      <c r="C13" s="12"/>
      <c r="D13" s="13"/>
      <c r="E13" s="10" t="s">
        <v>739</v>
      </c>
      <c r="F13" s="11"/>
      <c r="G13" s="12"/>
      <c r="H13" s="13"/>
      <c r="J13" s="8"/>
      <c r="K13" s="28"/>
      <c r="L13" s="28"/>
      <c r="M13" s="28"/>
      <c r="N13" s="28"/>
      <c r="O13" s="28"/>
      <c r="P13" s="28"/>
      <c r="Q13" s="28"/>
      <c r="R13" s="28"/>
      <c r="S13" s="28"/>
      <c r="T13" s="8"/>
    </row>
    <row r="14" spans="8:8" ht="15.0" customHeight="1">
      <c r="A14" s="10" t="s">
        <v>740</v>
      </c>
      <c r="B14" s="11"/>
      <c r="C14" s="12"/>
      <c r="D14" s="13"/>
      <c r="E14" s="10" t="s">
        <v>741</v>
      </c>
      <c r="F14" s="11"/>
      <c r="G14" s="12"/>
      <c r="H14" s="13"/>
      <c r="J14" s="8"/>
      <c r="K14" s="29"/>
      <c r="L14" s="29"/>
      <c r="M14" s="29"/>
      <c r="N14" s="29"/>
      <c r="O14" s="29"/>
      <c r="P14" s="29"/>
      <c r="Q14" s="29"/>
      <c r="R14" s="29"/>
      <c r="S14" s="29"/>
      <c r="T14" s="8"/>
    </row>
    <row r="15" spans="8:8" ht="15.0" customHeight="1">
      <c r="A15" s="10" t="s">
        <v>742</v>
      </c>
      <c r="B15" s="11"/>
      <c r="C15" s="12"/>
      <c r="D15" s="13"/>
      <c r="E15" s="10" t="s">
        <v>743</v>
      </c>
      <c r="F15" s="11"/>
      <c r="G15" s="12"/>
      <c r="H15" s="13"/>
    </row>
    <row r="16" spans="8:8" ht="20.1" customHeight="1">
      <c r="A16" s="5" t="s">
        <v>744</v>
      </c>
      <c r="B16" s="6"/>
      <c r="C16" s="6"/>
      <c r="D16" s="6"/>
      <c r="E16" s="6"/>
      <c r="F16" s="6"/>
      <c r="G16" s="6"/>
      <c r="H16" s="7"/>
    </row>
    <row r="17" spans="8:8" ht="15.0" customHeight="1">
      <c r="A17" s="30"/>
      <c r="B17" s="31"/>
      <c r="C17" s="32" t="s">
        <v>171</v>
      </c>
      <c r="D17" s="32"/>
      <c r="E17" s="32" t="s">
        <v>554</v>
      </c>
      <c r="F17" s="33"/>
      <c r="G17" s="34" t="s">
        <v>692</v>
      </c>
      <c r="H17" s="35"/>
    </row>
    <row r="18" spans="8:8" ht="15.0" customHeight="1">
      <c r="A18" s="10" t="s">
        <v>711</v>
      </c>
      <c r="B18" s="36"/>
      <c r="C18" s="37"/>
      <c r="D18" s="37"/>
      <c r="E18" s="32"/>
      <c r="F18" s="33"/>
      <c r="G18" s="38"/>
      <c r="H18" s="39"/>
    </row>
    <row r="19" spans="8:8" ht="15.0" customHeight="1">
      <c r="A19" s="10" t="s">
        <v>556</v>
      </c>
      <c r="B19" s="36"/>
      <c r="C19" s="37"/>
      <c r="D19" s="37"/>
      <c r="E19" s="32"/>
      <c r="F19" s="33"/>
      <c r="G19" s="38"/>
      <c r="H19" s="39"/>
    </row>
    <row r="20" spans="8:8" ht="20.1" customHeight="1">
      <c r="A20" s="5" t="s">
        <v>745</v>
      </c>
      <c r="B20" s="6"/>
      <c r="C20" s="40"/>
      <c r="D20" s="40"/>
      <c r="E20" s="40"/>
      <c r="F20" s="40"/>
      <c r="G20" s="40"/>
      <c r="H20" s="41"/>
    </row>
    <row r="21" spans="8:8" ht="15.0" customHeight="1">
      <c r="A21" s="10" t="s">
        <v>746</v>
      </c>
      <c r="B21" s="11"/>
      <c r="C21" s="12"/>
      <c r="D21" s="13"/>
      <c r="E21" s="10" t="s">
        <v>747</v>
      </c>
      <c r="F21" s="11"/>
      <c r="G21" s="12"/>
      <c r="H21" s="13"/>
    </row>
    <row r="22" spans="8:8" ht="15.0" customHeight="1">
      <c r="A22" s="42" t="s">
        <v>748</v>
      </c>
      <c r="B22" s="11"/>
      <c r="C22" s="12"/>
      <c r="D22" s="13"/>
      <c r="E22" s="42" t="s">
        <v>749</v>
      </c>
      <c r="F22" s="43"/>
      <c r="G22" s="12"/>
      <c r="H22" s="13"/>
    </row>
    <row r="23" spans="8:8" ht="15.0" customHeight="1">
      <c r="A23" s="10" t="s">
        <v>750</v>
      </c>
      <c r="B23" s="11"/>
      <c r="C23" s="12"/>
      <c r="D23" s="13"/>
      <c r="E23" s="42" t="s">
        <v>751</v>
      </c>
      <c r="F23" s="11"/>
      <c r="G23" s="12"/>
      <c r="H23" s="13"/>
    </row>
    <row r="24" spans="8:8" ht="15.0" customHeight="1">
      <c r="A24" s="10" t="s">
        <v>752</v>
      </c>
      <c r="B24" s="11"/>
      <c r="C24" s="12"/>
      <c r="D24" s="13"/>
      <c r="E24" s="10" t="s">
        <v>753</v>
      </c>
      <c r="F24" s="11"/>
      <c r="G24" s="12"/>
      <c r="H24" s="13"/>
    </row>
    <row r="25" spans="8:8" ht="15.0" customHeight="1">
      <c r="A25" s="10" t="s">
        <v>754</v>
      </c>
      <c r="B25" s="11"/>
      <c r="C25" s="12"/>
      <c r="D25" s="13"/>
      <c r="E25" s="10" t="s">
        <v>755</v>
      </c>
      <c r="F25" s="11"/>
      <c r="G25" s="12"/>
      <c r="H25" s="13"/>
    </row>
    <row r="26" spans="8:8" ht="20.1" customHeight="1">
      <c r="A26" s="5" t="s">
        <v>756</v>
      </c>
      <c r="B26" s="6"/>
      <c r="C26" s="6"/>
      <c r="D26" s="6"/>
      <c r="E26" s="6"/>
      <c r="F26" s="6"/>
      <c r="G26" s="6"/>
      <c r="H26" s="7"/>
    </row>
    <row r="27" spans="8:8" ht="15.0" customHeight="1">
      <c r="A27" s="10" t="s">
        <v>757</v>
      </c>
      <c r="B27" s="11"/>
      <c r="C27" s="12"/>
      <c r="D27" s="13"/>
      <c r="E27" s="10" t="s">
        <v>758</v>
      </c>
      <c r="F27" s="11"/>
      <c r="G27" s="12"/>
      <c r="H27" s="13"/>
    </row>
    <row r="28" spans="8:8" ht="15.0" customHeight="1">
      <c r="A28" s="10" t="s">
        <v>759</v>
      </c>
      <c r="B28" s="11"/>
      <c r="C28" s="12"/>
      <c r="D28" s="13"/>
      <c r="E28" s="10" t="s">
        <v>760</v>
      </c>
      <c r="F28" s="11"/>
      <c r="G28" s="12"/>
      <c r="H28" s="13"/>
    </row>
    <row r="29" spans="8:8" ht="15.0" customHeight="1">
      <c r="A29" s="42" t="s">
        <v>761</v>
      </c>
      <c r="B29" s="11"/>
      <c r="C29" s="12"/>
      <c r="D29" s="13"/>
      <c r="E29" s="10" t="s">
        <v>762</v>
      </c>
      <c r="F29" s="11"/>
      <c r="G29" s="12"/>
      <c r="H29" s="13"/>
    </row>
    <row r="30" spans="8:8" ht="15.0" customHeight="1">
      <c r="A30" s="10" t="s">
        <v>763</v>
      </c>
      <c r="B30" s="11"/>
      <c r="C30" s="12"/>
      <c r="D30" s="13"/>
      <c r="E30" s="10" t="s">
        <v>764</v>
      </c>
      <c r="F30" s="11"/>
      <c r="G30" s="12"/>
      <c r="H30" s="13"/>
    </row>
    <row r="31" spans="8:8" ht="15.0" customHeight="1">
      <c r="A31" s="10" t="s">
        <v>765</v>
      </c>
      <c r="B31" s="11"/>
      <c r="C31" s="12"/>
      <c r="D31" s="13"/>
      <c r="E31" s="10" t="s">
        <v>766</v>
      </c>
      <c r="F31" s="11"/>
      <c r="G31" s="12"/>
      <c r="H31" s="13"/>
    </row>
    <row r="32" spans="8:8" ht="15.0" customHeight="1">
      <c r="A32" s="10" t="s">
        <v>767</v>
      </c>
      <c r="B32" s="11"/>
      <c r="C32" s="12"/>
      <c r="D32" s="13"/>
      <c r="E32" s="10" t="s">
        <v>768</v>
      </c>
      <c r="F32" s="11"/>
      <c r="G32" s="12"/>
      <c r="H32" s="13"/>
    </row>
    <row r="33" spans="8:8" ht="15.0" customHeight="1">
      <c r="A33" s="10" t="s">
        <v>769</v>
      </c>
      <c r="B33" s="11"/>
      <c r="C33" s="12"/>
      <c r="D33" s="13"/>
      <c r="E33" s="12"/>
      <c r="F33" s="13"/>
      <c r="G33" s="12"/>
      <c r="H33" s="13"/>
    </row>
    <row r="34" spans="8:8" ht="15.0" customHeight="1">
      <c r="A34" s="10" t="s">
        <v>770</v>
      </c>
      <c r="B34" s="11"/>
      <c r="C34" s="12"/>
      <c r="D34" s="13"/>
      <c r="E34" s="12"/>
      <c r="F34" s="13"/>
      <c r="G34" s="12"/>
      <c r="H34" s="13"/>
    </row>
    <row r="35" spans="8:8" ht="20.1" customHeight="1">
      <c r="A35" s="5" t="s">
        <v>771</v>
      </c>
      <c r="B35" s="6"/>
      <c r="C35" s="6"/>
      <c r="D35" s="6"/>
      <c r="E35" s="6"/>
      <c r="F35" s="6"/>
      <c r="G35" s="6"/>
      <c r="H35" s="7"/>
    </row>
    <row r="36" spans="8:8" ht="15.0" customHeight="1">
      <c r="A36" s="42" t="s">
        <v>799</v>
      </c>
      <c r="B36" s="11"/>
      <c r="C36" s="12"/>
      <c r="D36" s="13"/>
      <c r="E36" s="10" t="s">
        <v>772</v>
      </c>
      <c r="F36" s="11"/>
      <c r="G36" s="12"/>
      <c r="H36" s="13"/>
    </row>
    <row r="37" spans="8:8" ht="23.25" customHeight="1">
      <c r="A37" s="42" t="s">
        <v>801</v>
      </c>
      <c r="B37" s="11"/>
      <c r="C37" s="12"/>
      <c r="D37" s="13"/>
      <c r="E37" s="10"/>
      <c r="F37" s="11"/>
      <c r="G37" s="12"/>
      <c r="H37" s="13"/>
    </row>
    <row r="38" spans="8:8" ht="15.0" customHeight="1">
      <c r="A38" s="10" t="s">
        <v>773</v>
      </c>
      <c r="B38" s="11"/>
      <c r="C38" s="12"/>
      <c r="D38" s="13"/>
      <c r="E38" s="10" t="s">
        <v>774</v>
      </c>
      <c r="F38" s="11"/>
      <c r="G38" s="12"/>
      <c r="H38" s="13"/>
    </row>
    <row r="39" spans="8:8" ht="15.0" customHeight="1">
      <c r="A39" s="10" t="s">
        <v>775</v>
      </c>
      <c r="B39" s="11"/>
      <c r="C39" s="12"/>
      <c r="D39" s="13"/>
      <c r="E39" s="10" t="s">
        <v>776</v>
      </c>
      <c r="F39" s="11"/>
      <c r="G39" s="12"/>
      <c r="H39" s="13"/>
    </row>
    <row r="40" spans="8:8" ht="20.1" customHeight="1">
      <c r="A40" s="5" t="s">
        <v>777</v>
      </c>
      <c r="B40" s="6"/>
      <c r="C40" s="6"/>
      <c r="D40" s="6"/>
      <c r="E40" s="6"/>
      <c r="F40" s="6"/>
      <c r="G40" s="6"/>
      <c r="H40" s="7"/>
    </row>
    <row r="41" spans="8:8" ht="15.0" customHeight="1">
      <c r="A41" s="44" t="s">
        <v>778</v>
      </c>
      <c r="B41" s="45"/>
      <c r="C41" s="44" t="s">
        <v>779</v>
      </c>
      <c r="D41" s="45"/>
      <c r="E41" s="44" t="s">
        <v>780</v>
      </c>
      <c r="F41" s="45"/>
      <c r="G41" s="44" t="s">
        <v>781</v>
      </c>
      <c r="H41" s="45"/>
    </row>
    <row r="42" spans="8:8" ht="15.0" customHeight="1">
      <c r="A42" s="44" t="s">
        <v>782</v>
      </c>
      <c r="B42" s="45"/>
      <c r="C42" s="44" t="s">
        <v>783</v>
      </c>
      <c r="D42" s="45"/>
      <c r="E42" s="44" t="s">
        <v>784</v>
      </c>
      <c r="F42" s="45"/>
      <c r="G42" s="44" t="s">
        <v>785</v>
      </c>
      <c r="H42" s="45"/>
    </row>
    <row r="43" spans="8:8" ht="15.0" customHeight="1">
      <c r="A43" s="44" t="s">
        <v>786</v>
      </c>
      <c r="B43" s="45"/>
      <c r="C43" s="44" t="s">
        <v>787</v>
      </c>
      <c r="D43" s="45"/>
      <c r="E43" s="44" t="s">
        <v>788</v>
      </c>
      <c r="F43" s="45"/>
      <c r="G43" s="44" t="s">
        <v>789</v>
      </c>
      <c r="H43" s="45"/>
    </row>
    <row r="44" spans="8:8" ht="16.5" customHeight="1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8:8" ht="16.5" customHeight="1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8:8" ht="16.5" customHeight="1">
      <c r="A46" s="46" t="s">
        <v>790</v>
      </c>
      <c r="B46" s="47"/>
      <c r="C46" s="47"/>
      <c r="D46" s="2"/>
      <c r="E46" s="2"/>
      <c r="F46" s="2"/>
      <c r="G46" s="2"/>
      <c r="H46" s="2"/>
      <c r="I46" s="2"/>
      <c r="J46" s="2"/>
    </row>
    <row r="47" spans="8:8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8:8">
      <c r="A48" s="2"/>
      <c r="B48" s="2"/>
      <c r="C48" s="2"/>
      <c r="D48" s="2"/>
      <c r="E48" s="2"/>
      <c r="F48" s="2"/>
      <c r="G48" s="2"/>
      <c r="H48" s="2"/>
      <c r="I48" s="2"/>
      <c r="J48" s="2"/>
    </row>
  </sheetData>
  <sheetProtection algorithmName="SHA-512" hashValue="VNsMSE2kayxEfnt7ctrGuouqrjbAXLBvQdRHXzgxLqfqgTPcb4qhTb6o64WdjCzLjOJkr5Kc0ngC6VqKhJ0KEQ==" saltValue="VLrRwKKU0yEN6UuUF13CWw==" spinCount="100000" sheet="1" objects="1" scenarios="1"/>
  <mergeCells count="147">
    <mergeCell ref="A3:B3"/>
    <mergeCell ref="K10:S10"/>
    <mergeCell ref="C5:D5"/>
    <mergeCell ref="A6:B6"/>
    <mergeCell ref="G7:H7"/>
    <mergeCell ref="G38:H38"/>
    <mergeCell ref="C21:D21"/>
    <mergeCell ref="A31:B31"/>
    <mergeCell ref="E33:F33"/>
    <mergeCell ref="A19:B19"/>
    <mergeCell ref="E13:F13"/>
    <mergeCell ref="E34:F34"/>
    <mergeCell ref="A39:B39"/>
    <mergeCell ref="C39:D39"/>
    <mergeCell ref="A14:B14"/>
    <mergeCell ref="E32:F32"/>
    <mergeCell ref="C34:D34"/>
    <mergeCell ref="A29:B29"/>
    <mergeCell ref="A34:B34"/>
    <mergeCell ref="C36:D36"/>
    <mergeCell ref="C38:D38"/>
    <mergeCell ref="E39:F39"/>
    <mergeCell ref="K11:S11"/>
    <mergeCell ref="C4:D4"/>
    <mergeCell ref="A5:B5"/>
    <mergeCell ref="G5:H5"/>
    <mergeCell ref="A9:B9"/>
    <mergeCell ref="A1:H1"/>
    <mergeCell ref="G31:H31"/>
    <mergeCell ref="A2:H2"/>
    <mergeCell ref="E15:F15"/>
    <mergeCell ref="G4:H4"/>
    <mergeCell ref="C3:D3"/>
    <mergeCell ref="G23:H23"/>
    <mergeCell ref="A36:B36"/>
    <mergeCell ref="E38:F38"/>
    <mergeCell ref="C31:D31"/>
    <mergeCell ref="E24:F24"/>
    <mergeCell ref="A16:H16"/>
    <mergeCell ref="E7:F7"/>
    <mergeCell ref="C14:D14"/>
    <mergeCell ref="E11:F11"/>
    <mergeCell ref="A11:B11"/>
    <mergeCell ref="A7:B7"/>
    <mergeCell ref="A8:H8"/>
    <mergeCell ref="E9:F9"/>
    <mergeCell ref="A21:B21"/>
    <mergeCell ref="C37:D37"/>
    <mergeCell ref="E30:F30"/>
    <mergeCell ref="C12:D12"/>
    <mergeCell ref="C10:D10"/>
    <mergeCell ref="G19:H19"/>
    <mergeCell ref="C7:D7"/>
    <mergeCell ref="A13:B13"/>
    <mergeCell ref="A38:B38"/>
    <mergeCell ref="A26:H26"/>
    <mergeCell ref="A23:B23"/>
    <mergeCell ref="A27:B27"/>
    <mergeCell ref="G37:H37"/>
    <mergeCell ref="C6:D6"/>
    <mergeCell ref="G13:H13"/>
    <mergeCell ref="A18:B18"/>
    <mergeCell ref="A22:B22"/>
    <mergeCell ref="G34:H34"/>
    <mergeCell ref="E18:F18"/>
    <mergeCell ref="A24:B24"/>
    <mergeCell ref="G36:H36"/>
    <mergeCell ref="A25:B25"/>
    <mergeCell ref="K4:S4"/>
    <mergeCell ref="E5:F5"/>
    <mergeCell ref="C22:D22"/>
    <mergeCell ref="E27:F27"/>
    <mergeCell ref="C32:D32"/>
    <mergeCell ref="E6:F6"/>
    <mergeCell ref="E4:F4"/>
    <mergeCell ref="C17:D17"/>
    <mergeCell ref="K3:S3"/>
    <mergeCell ref="K12:S12"/>
    <mergeCell ref="G6:H6"/>
    <mergeCell ref="K7:S7"/>
    <mergeCell ref="K9:S9"/>
    <mergeCell ref="K6:S6"/>
    <mergeCell ref="K5:S5"/>
    <mergeCell ref="G39:H39"/>
    <mergeCell ref="E29:F29"/>
    <mergeCell ref="A37:B37"/>
    <mergeCell ref="G28:H28"/>
    <mergeCell ref="E31:F31"/>
    <mergeCell ref="E36:F36"/>
    <mergeCell ref="A40:H40"/>
    <mergeCell ref="A20:H20"/>
    <mergeCell ref="E3:F3"/>
    <mergeCell ref="C9:D9"/>
    <mergeCell ref="G15:H15"/>
    <mergeCell ref="E12:F12"/>
    <mergeCell ref="C13:D13"/>
    <mergeCell ref="E14:F14"/>
    <mergeCell ref="G14:H14"/>
    <mergeCell ref="G12:H12"/>
    <mergeCell ref="E25:F25"/>
    <mergeCell ref="E37:F37"/>
    <mergeCell ref="A30:B30"/>
    <mergeCell ref="C28:D28"/>
    <mergeCell ref="C29:D29"/>
    <mergeCell ref="C30:D30"/>
    <mergeCell ref="C33:D33"/>
    <mergeCell ref="E28:F28"/>
    <mergeCell ref="G18:H18"/>
    <mergeCell ref="C25:D25"/>
    <mergeCell ref="G3:H3"/>
    <mergeCell ref="A15:B15"/>
    <mergeCell ref="K8:S8"/>
    <mergeCell ref="C23:D23"/>
    <mergeCell ref="G25:H25"/>
    <mergeCell ref="G17:H17"/>
    <mergeCell ref="G24:H24"/>
    <mergeCell ref="G11:H11"/>
    <mergeCell ref="K2:S2"/>
    <mergeCell ref="A35:H35"/>
    <mergeCell ref="E17:F17"/>
    <mergeCell ref="G30:H30"/>
    <mergeCell ref="G29:H29"/>
    <mergeCell ref="A10:B10"/>
    <mergeCell ref="E21:F21"/>
    <mergeCell ref="C24:D24"/>
    <mergeCell ref="A4:B4"/>
    <mergeCell ref="G27:H27"/>
    <mergeCell ref="C15:D15"/>
    <mergeCell ref="A28:B28"/>
    <mergeCell ref="G21:H21"/>
    <mergeCell ref="G22:H22"/>
    <mergeCell ref="G32:H32"/>
    <mergeCell ref="K14:S14"/>
    <mergeCell ref="K13:S13"/>
    <mergeCell ref="A12:B12"/>
    <mergeCell ref="E23:F23"/>
    <mergeCell ref="C27:D27"/>
    <mergeCell ref="A32:B32"/>
    <mergeCell ref="A33:B33"/>
    <mergeCell ref="E22:F22"/>
    <mergeCell ref="C11:D11"/>
    <mergeCell ref="E10:F10"/>
    <mergeCell ref="E19:F19"/>
    <mergeCell ref="C18:D18"/>
    <mergeCell ref="C19:D19"/>
    <mergeCell ref="G9:H9"/>
    <mergeCell ref="G33:H33"/>
  </mergeCells>
  <pageMargins left="0.25" right="0.1" top="0.25" bottom="0.25" header="0.3" footer="0.3"/>
  <headerFooter>
    <oddHeader>&amp;C&amp;G</oddHead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tabColor rgb="FFFF0000"/>
  </sheetPr>
  <dimension ref="A1:AH212"/>
  <sheetViews>
    <sheetView workbookViewId="0" showGridLines="0" showRowColHeaders="0" zoomScale="38">
      <selection activeCell="E26" sqref="E26"/>
    </sheetView>
  </sheetViews>
  <sheetFormatPr defaultRowHeight="14.25" defaultColWidth="10"/>
  <cols>
    <col min="1" max="1" customWidth="1" width="5.140625" style="48"/>
    <col min="2" max="2" customWidth="1" width="28.285156" style="49"/>
    <col min="3" max="3" customWidth="1" width="11.425781" style="48"/>
    <col min="4" max="5" customWidth="1" width="16.710938" style="48"/>
    <col min="6" max="6" customWidth="1" width="3.4257812" style="48"/>
    <col min="7" max="8" customWidth="1" width="16.710938" style="48"/>
    <col min="9" max="9" customWidth="1" width="10.855469" style="48"/>
    <col min="10" max="11" customWidth="1" width="12.140625" style="48"/>
    <col min="12" max="12" customWidth="1" width="10.285156" style="48"/>
    <col min="13" max="14" customWidth="0" width="9.140625" style="48"/>
    <col min="15" max="15" customWidth="1" width="8.7109375" style="48"/>
    <col min="16" max="16" customWidth="1" width="17.425781" style="48"/>
    <col min="17" max="17" customWidth="1" width="13.425781" style="48"/>
    <col min="18" max="18" customWidth="1" width="11.140625" style="48"/>
    <col min="19" max="19" customWidth="1" width="12.855469" style="48"/>
    <col min="20" max="20" customWidth="1" width="9.855469" style="48"/>
    <col min="21" max="21" customWidth="1" width="9.7109375" style="48"/>
    <col min="22" max="22" customWidth="1" width="8.425781" style="48"/>
    <col min="23" max="23" customWidth="1" width="12.5703125" style="48"/>
    <col min="24" max="24" customWidth="1" width="11.140625" style="48"/>
    <col min="25" max="25" customWidth="1" width="12.140625" style="48"/>
    <col min="26" max="26" customWidth="1" width="10.425781" style="48"/>
    <col min="27" max="28" customWidth="1" width="10.0" style="48"/>
    <col min="29" max="53" customWidth="0" width="9.140625" style="48"/>
    <col min="54" max="54" hidden="1" customWidth="1" width="0.0" style="48"/>
    <col min="55" max="16384" customWidth="0" width="9.140625" style="48"/>
  </cols>
  <sheetData>
    <row r="1" spans="8:8">
      <c r="A1" s="50">
        <v>1.0</v>
      </c>
      <c r="B1" s="51" t="s">
        <v>712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</row>
    <row r="2" spans="8:8" ht="17.1" customHeight="1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0"/>
      <c r="P2" s="53" t="s">
        <v>513</v>
      </c>
      <c r="Q2" s="54">
        <v>1.0</v>
      </c>
      <c r="R2" s="53"/>
      <c r="S2" s="53"/>
      <c r="T2" s="53"/>
      <c r="U2" s="53"/>
      <c r="V2" s="55"/>
    </row>
    <row r="3" spans="8:8" ht="20.1" customFormat="1" customHeight="1">
      <c r="A3" s="56"/>
      <c r="B3" s="57" t="s">
        <v>246</v>
      </c>
      <c r="C3" s="57"/>
      <c r="D3" s="57"/>
      <c r="E3" s="57"/>
      <c r="F3" s="58"/>
      <c r="G3" s="59">
        <f>'ANNEXURE II'!L68</f>
        <v>44056.0</v>
      </c>
      <c r="H3" s="58"/>
      <c r="I3" s="50"/>
      <c r="J3" s="60" t="str">
        <f>CONCATENATE(C4&amp;" ",D4," tax to be paid is  ",IF('ANNEXURE II'!L68="No Tax","NIL",ROUND('ANNEXURE II'!L68,0)))</f>
        <v>Sri. P. Pothan Prasad tax to be paid is  44056</v>
      </c>
      <c r="K3" s="60"/>
      <c r="L3" s="60"/>
      <c r="M3" s="60"/>
      <c r="N3" s="60"/>
      <c r="O3" s="56"/>
      <c r="P3" s="53" t="s">
        <v>39</v>
      </c>
      <c r="Q3" s="61">
        <v>1.0</v>
      </c>
      <c r="R3" s="53"/>
      <c r="S3" s="53"/>
      <c r="T3" s="53"/>
      <c r="U3" s="53"/>
      <c r="V3" s="55"/>
      <c r="W3" s="48"/>
      <c r="X3" s="48"/>
      <c r="Y3" s="48"/>
      <c r="Z3" s="48"/>
      <c r="AA3" s="48"/>
      <c r="AB3" s="48"/>
      <c r="AC3" s="48"/>
      <c r="AD3" s="48"/>
      <c r="AE3" s="48"/>
    </row>
    <row r="4" spans="8:8" ht="20.1" customHeight="1">
      <c r="A4" s="50"/>
      <c r="B4" s="62" t="s">
        <v>0</v>
      </c>
      <c r="C4" s="63" t="str">
        <f>INDEX(Sheet4!O3:O5,Data!Q2)</f>
        <v>Sri.</v>
      </c>
      <c r="D4" s="64" t="s">
        <v>677</v>
      </c>
      <c r="E4" s="64"/>
      <c r="F4" s="64"/>
      <c r="G4" s="64"/>
      <c r="H4" s="64"/>
      <c r="I4" s="50"/>
      <c r="J4" s="60"/>
      <c r="K4" s="60"/>
      <c r="L4" s="60"/>
      <c r="M4" s="60"/>
      <c r="N4" s="60"/>
      <c r="O4" s="50"/>
      <c r="P4" s="53" t="s">
        <v>69</v>
      </c>
      <c r="Q4" s="54">
        <v>39.0</v>
      </c>
      <c r="R4" s="54">
        <v>37.0</v>
      </c>
      <c r="S4" s="53"/>
      <c r="T4" s="53"/>
      <c r="U4" s="53"/>
      <c r="V4" s="55"/>
    </row>
    <row r="5" spans="8:8" ht="20.1" customHeight="1">
      <c r="A5" s="50"/>
      <c r="B5" s="65" t="s">
        <v>4</v>
      </c>
      <c r="C5" s="65"/>
      <c r="D5" s="66">
        <v>1234567.0</v>
      </c>
      <c r="E5" s="66"/>
      <c r="F5" s="66"/>
      <c r="G5" s="66"/>
      <c r="H5" s="66"/>
      <c r="I5" s="50"/>
      <c r="J5" s="67" t="s">
        <v>681</v>
      </c>
      <c r="K5" s="68"/>
      <c r="L5" s="68"/>
      <c r="M5" s="68"/>
      <c r="N5" s="68"/>
      <c r="O5" s="50"/>
      <c r="P5" s="53" t="s">
        <v>470</v>
      </c>
      <c r="Q5" s="61">
        <v>8.0</v>
      </c>
      <c r="R5" s="53"/>
      <c r="S5" s="53"/>
      <c r="T5" s="53"/>
      <c r="U5" s="53"/>
      <c r="V5" s="55"/>
    </row>
    <row r="6" spans="8:8" ht="20.1" customHeight="1">
      <c r="A6" s="50"/>
      <c r="B6" s="65" t="s">
        <v>5</v>
      </c>
      <c r="C6" s="65"/>
      <c r="D6" s="66" t="s">
        <v>678</v>
      </c>
      <c r="E6" s="66"/>
      <c r="F6" s="66"/>
      <c r="G6" s="66"/>
      <c r="H6" s="66"/>
      <c r="I6" s="50"/>
      <c r="J6" s="68"/>
      <c r="K6" s="68"/>
      <c r="L6" s="68"/>
      <c r="M6" s="68"/>
      <c r="N6" s="68"/>
      <c r="O6" s="50"/>
      <c r="P6" s="53" t="s">
        <v>52</v>
      </c>
      <c r="Q6" s="61">
        <v>1.0</v>
      </c>
      <c r="R6" s="53"/>
      <c r="S6" s="53"/>
      <c r="T6" s="53"/>
      <c r="U6" s="53"/>
      <c r="V6" s="55"/>
    </row>
    <row r="7" spans="8:8" ht="20.1" customHeight="1">
      <c r="A7" s="50"/>
      <c r="B7" s="65" t="s">
        <v>6</v>
      </c>
      <c r="C7" s="65"/>
      <c r="D7" s="69" t="s">
        <v>257</v>
      </c>
      <c r="E7" s="70"/>
      <c r="F7" s="70"/>
      <c r="G7" s="71"/>
      <c r="H7" s="72"/>
      <c r="I7" s="50"/>
      <c r="J7" s="73" t="s">
        <v>135</v>
      </c>
      <c r="K7" s="73"/>
      <c r="L7" s="73"/>
      <c r="M7" s="73"/>
      <c r="N7" s="73"/>
      <c r="O7" s="50"/>
      <c r="P7" s="53" t="s">
        <v>472</v>
      </c>
      <c r="Q7" s="54">
        <v>11.0</v>
      </c>
      <c r="R7" s="54">
        <v>1.0</v>
      </c>
      <c r="T7" s="53"/>
      <c r="U7" s="53"/>
      <c r="V7" s="55"/>
    </row>
    <row r="8" spans="8:8" ht="20.1" customHeight="1">
      <c r="A8" s="50"/>
      <c r="B8" s="65" t="s">
        <v>1</v>
      </c>
      <c r="C8" s="65"/>
      <c r="D8" s="66" t="s">
        <v>648</v>
      </c>
      <c r="E8" s="66"/>
      <c r="F8" s="66"/>
      <c r="G8" s="66"/>
      <c r="H8" s="66"/>
      <c r="I8" s="50"/>
      <c r="J8" s="74" t="s">
        <v>254</v>
      </c>
      <c r="K8" s="74"/>
      <c r="L8" s="75">
        <f>R164</f>
        <v>10000.0</v>
      </c>
      <c r="M8" s="76" t="s">
        <v>253</v>
      </c>
      <c r="N8" s="76"/>
      <c r="O8" s="50"/>
      <c r="P8" s="53" t="s">
        <v>471</v>
      </c>
      <c r="Q8" s="54">
        <v>1.0</v>
      </c>
      <c r="R8" s="53"/>
      <c r="S8" s="53"/>
      <c r="T8" s="53"/>
      <c r="U8" s="53"/>
      <c r="V8" s="55"/>
    </row>
    <row r="9" spans="8:8" ht="20.1" customHeight="1">
      <c r="A9" s="50"/>
      <c r="B9" s="65" t="s">
        <v>2</v>
      </c>
      <c r="C9" s="65"/>
      <c r="D9" s="66" t="s">
        <v>688</v>
      </c>
      <c r="E9" s="66"/>
      <c r="F9" s="66"/>
      <c r="G9" s="66"/>
      <c r="H9" s="66"/>
      <c r="I9" s="50"/>
      <c r="J9" s="77" t="s">
        <v>252</v>
      </c>
      <c r="K9" s="77"/>
      <c r="L9" s="78">
        <v>7000.0</v>
      </c>
      <c r="M9" s="79">
        <f>IF(D12="Own House",0,IF(L9=0,L8,L9))</f>
        <v>7000.0</v>
      </c>
      <c r="N9" s="79"/>
      <c r="O9" s="50"/>
      <c r="P9" s="53" t="s">
        <v>473</v>
      </c>
      <c r="Q9" s="54">
        <v>1.0</v>
      </c>
      <c r="R9" s="53"/>
      <c r="S9" s="53"/>
      <c r="T9" s="53"/>
      <c r="U9" s="53"/>
      <c r="V9" s="55"/>
    </row>
    <row r="10" spans="8:8" ht="20.1" customHeight="1">
      <c r="A10" s="50"/>
      <c r="B10" s="65" t="s">
        <v>3</v>
      </c>
      <c r="C10" s="65"/>
      <c r="D10" s="66" t="s">
        <v>689</v>
      </c>
      <c r="E10" s="66"/>
      <c r="F10" s="66"/>
      <c r="G10" s="66"/>
      <c r="H10" s="66"/>
      <c r="I10" s="50"/>
      <c r="J10" s="80" t="str">
        <f>IF(L9&gt;8300,"You must produce house owner PAN Card","")</f>
        <v/>
      </c>
      <c r="K10" s="80"/>
      <c r="L10" s="80"/>
      <c r="M10" s="80"/>
      <c r="N10" s="80"/>
      <c r="O10" s="50"/>
      <c r="P10" s="53" t="s">
        <v>474</v>
      </c>
      <c r="Q10" s="54">
        <v>13.0</v>
      </c>
      <c r="R10" s="53"/>
      <c r="S10" s="53"/>
      <c r="T10" s="53"/>
      <c r="U10" s="53"/>
      <c r="V10" s="55"/>
    </row>
    <row r="11" spans="8:8" ht="20.1" customHeight="1">
      <c r="A11" s="50"/>
      <c r="B11" s="81" t="s">
        <v>239</v>
      </c>
      <c r="C11" s="81"/>
      <c r="D11" s="66" t="s">
        <v>404</v>
      </c>
      <c r="E11" s="66"/>
      <c r="F11" s="66"/>
      <c r="G11" s="66"/>
      <c r="H11" s="66"/>
      <c r="I11" s="50"/>
      <c r="J11" s="82" t="s">
        <v>541</v>
      </c>
      <c r="K11" s="83"/>
      <c r="L11" s="83"/>
      <c r="M11" s="83"/>
      <c r="N11" s="83"/>
      <c r="O11" s="50"/>
      <c r="P11" s="53" t="s">
        <v>475</v>
      </c>
      <c r="Q11" s="54"/>
      <c r="R11" s="53"/>
      <c r="S11" s="53"/>
      <c r="T11" s="53"/>
      <c r="U11" s="53"/>
      <c r="V11" s="55"/>
    </row>
    <row r="12" spans="8:8" ht="20.1" customHeight="1">
      <c r="A12" s="50"/>
      <c r="B12" s="63" t="s">
        <v>39</v>
      </c>
      <c r="C12" s="81"/>
      <c r="D12" s="84" t="str">
        <f>INDEX(Sheet4!L3:L4,Data!Q3)</f>
        <v>Rented house</v>
      </c>
      <c r="E12" s="85"/>
      <c r="F12" s="86"/>
      <c r="G12" s="87"/>
      <c r="H12" s="87"/>
      <c r="I12" s="50"/>
      <c r="J12" s="88"/>
      <c r="K12" s="88"/>
      <c r="L12" s="88"/>
      <c r="M12" s="88"/>
      <c r="N12" s="88"/>
      <c r="O12" s="50"/>
      <c r="P12" s="53" t="s">
        <v>476</v>
      </c>
      <c r="Q12" s="54">
        <v>1.0</v>
      </c>
      <c r="R12" s="53"/>
      <c r="S12" s="53"/>
      <c r="T12" s="53"/>
      <c r="U12" s="53"/>
      <c r="V12" s="55"/>
    </row>
    <row r="13" spans="8:8" ht="20.1" customHeight="1">
      <c r="A13" s="50"/>
      <c r="B13" s="89" t="s">
        <v>403</v>
      </c>
      <c r="C13" s="89"/>
      <c r="D13" s="90">
        <v>2.34567891234E11</v>
      </c>
      <c r="E13" s="91"/>
      <c r="F13" s="91"/>
      <c r="G13" s="91"/>
      <c r="H13" s="92"/>
      <c r="I13" s="50"/>
      <c r="J13" s="88"/>
      <c r="K13" s="88"/>
      <c r="L13" s="88"/>
      <c r="M13" s="88"/>
      <c r="N13" s="88"/>
      <c r="O13" s="50"/>
      <c r="P13" s="53" t="s">
        <v>9</v>
      </c>
      <c r="Q13" s="54"/>
      <c r="R13" s="53"/>
      <c r="S13" s="53"/>
      <c r="T13" s="53"/>
      <c r="U13" s="53"/>
      <c r="V13" s="55"/>
    </row>
    <row r="14" spans="8:8" ht="20.1" customHeight="1">
      <c r="A14" s="50"/>
      <c r="B14" s="57" t="s">
        <v>247</v>
      </c>
      <c r="C14" s="57"/>
      <c r="D14" s="57"/>
      <c r="E14" s="57"/>
      <c r="F14" s="57"/>
      <c r="G14" s="93"/>
      <c r="H14" s="93"/>
      <c r="I14" s="50"/>
      <c r="J14" s="88"/>
      <c r="K14" s="88"/>
      <c r="L14" s="88"/>
      <c r="M14" s="88"/>
      <c r="N14" s="88"/>
      <c r="O14" s="50"/>
      <c r="P14" s="53" t="s">
        <v>477</v>
      </c>
      <c r="Q14" s="54">
        <v>13.0</v>
      </c>
      <c r="R14" s="53"/>
      <c r="S14" s="53"/>
      <c r="T14" s="53"/>
      <c r="U14" s="53"/>
      <c r="V14" s="55"/>
    </row>
    <row r="15" spans="8:8" ht="20.1" customHeight="1">
      <c r="A15" s="50"/>
      <c r="B15" s="94" t="s">
        <v>235</v>
      </c>
      <c r="C15" s="95" t="s">
        <v>564</v>
      </c>
      <c r="D15" s="96"/>
      <c r="E15" s="97"/>
      <c r="F15" s="50"/>
      <c r="G15" s="98"/>
      <c r="H15" s="98"/>
      <c r="I15" s="50"/>
      <c r="J15" s="88"/>
      <c r="K15" s="88"/>
      <c r="L15" s="88"/>
      <c r="M15" s="88"/>
      <c r="N15" s="88"/>
      <c r="O15" s="50"/>
      <c r="P15" s="53" t="s">
        <v>478</v>
      </c>
      <c r="Q15" s="54"/>
      <c r="R15" s="53"/>
      <c r="S15" s="53"/>
      <c r="T15" s="53"/>
      <c r="U15" s="53"/>
      <c r="V15" s="55"/>
    </row>
    <row r="16" spans="8:8" ht="20.1" customHeight="1">
      <c r="A16" s="50"/>
      <c r="B16" s="94" t="s">
        <v>234</v>
      </c>
      <c r="C16" s="95" t="s">
        <v>565</v>
      </c>
      <c r="D16" s="96"/>
      <c r="E16" s="97"/>
      <c r="F16" s="99"/>
      <c r="G16" s="100"/>
      <c r="H16" s="100"/>
      <c r="I16" s="50"/>
      <c r="J16" s="88"/>
      <c r="K16" s="88"/>
      <c r="L16" s="88"/>
      <c r="M16" s="88"/>
      <c r="N16" s="88"/>
      <c r="O16" s="50"/>
      <c r="P16" s="53" t="s">
        <v>29</v>
      </c>
      <c r="Q16" s="54">
        <v>2.0</v>
      </c>
      <c r="R16" s="53"/>
      <c r="S16" s="53"/>
      <c r="T16" s="53"/>
      <c r="U16" s="53"/>
      <c r="V16" s="55"/>
    </row>
    <row r="17" spans="8:8" ht="20.1" customHeight="1">
      <c r="A17" s="50"/>
      <c r="B17" s="94" t="s">
        <v>236</v>
      </c>
      <c r="C17" s="95" t="s">
        <v>690</v>
      </c>
      <c r="D17" s="96"/>
      <c r="E17" s="97"/>
      <c r="F17" s="99"/>
      <c r="G17" s="100"/>
      <c r="H17" s="100"/>
      <c r="I17" s="50"/>
      <c r="J17" s="88"/>
      <c r="K17" s="88"/>
      <c r="L17" s="88"/>
      <c r="M17" s="88"/>
      <c r="N17" s="88"/>
      <c r="O17" s="50"/>
      <c r="P17" s="53" t="s">
        <v>479</v>
      </c>
      <c r="Q17" s="54">
        <v>3.0</v>
      </c>
      <c r="R17" s="53"/>
      <c r="S17" s="53"/>
      <c r="T17" s="53"/>
      <c r="U17" s="53"/>
      <c r="V17" s="55"/>
    </row>
    <row r="18" spans="8:8" ht="20.1" customHeight="1">
      <c r="A18" s="50"/>
      <c r="B18" s="94" t="s">
        <v>237</v>
      </c>
      <c r="C18" s="101" t="s">
        <v>679</v>
      </c>
      <c r="D18" s="101"/>
      <c r="E18" s="101"/>
      <c r="F18" s="99"/>
      <c r="G18" s="100"/>
      <c r="H18" s="100"/>
      <c r="I18" s="50"/>
      <c r="J18" s="102"/>
      <c r="K18" s="102"/>
      <c r="L18" s="102"/>
      <c r="M18" s="102"/>
      <c r="N18" s="88"/>
      <c r="O18" s="50"/>
      <c r="P18" s="53" t="s">
        <v>480</v>
      </c>
      <c r="Q18" s="54">
        <v>4.0</v>
      </c>
      <c r="R18" s="53"/>
      <c r="S18" s="53"/>
      <c r="T18" s="53"/>
      <c r="U18" s="53"/>
      <c r="V18" s="55"/>
    </row>
    <row r="19" spans="8:8" ht="20.1" customHeight="1">
      <c r="A19" s="50"/>
      <c r="B19" s="62" t="s">
        <v>528</v>
      </c>
      <c r="C19" s="69" t="s">
        <v>680</v>
      </c>
      <c r="D19" s="70"/>
      <c r="E19" s="103"/>
      <c r="F19" s="99"/>
      <c r="G19" s="104"/>
      <c r="H19" s="104"/>
      <c r="I19" s="50"/>
      <c r="J19" s="105"/>
      <c r="K19" s="106"/>
      <c r="L19" s="106"/>
      <c r="M19" s="106"/>
      <c r="N19" s="106"/>
      <c r="O19" s="50"/>
      <c r="P19" s="53" t="s">
        <v>37</v>
      </c>
      <c r="Q19" s="54">
        <v>2.0</v>
      </c>
      <c r="R19" s="53"/>
      <c r="S19" s="53"/>
      <c r="T19" s="53"/>
      <c r="U19" s="53"/>
      <c r="V19" s="55"/>
    </row>
    <row r="20" spans="8:8" ht="20.1" customHeight="1">
      <c r="A20" s="50"/>
      <c r="B20" s="107" t="s">
        <v>248</v>
      </c>
      <c r="C20" s="107"/>
      <c r="D20" s="107"/>
      <c r="E20" s="107"/>
      <c r="F20" s="93"/>
      <c r="G20" s="93"/>
      <c r="H20" s="93"/>
      <c r="I20" s="50"/>
      <c r="J20" s="108" t="s">
        <v>30</v>
      </c>
      <c r="K20" s="108" t="s">
        <v>69</v>
      </c>
      <c r="L20" s="108" t="s">
        <v>51</v>
      </c>
      <c r="M20" s="109" t="s">
        <v>52</v>
      </c>
      <c r="N20" s="93"/>
      <c r="O20" s="50"/>
      <c r="P20" s="53" t="s">
        <v>481</v>
      </c>
      <c r="Q20" s="61">
        <v>13.0</v>
      </c>
      <c r="R20" s="110"/>
      <c r="S20" s="110"/>
      <c r="T20" s="110"/>
      <c r="U20" s="110"/>
      <c r="V20" s="55"/>
    </row>
    <row r="21" spans="8:8" ht="20.1" customHeight="1">
      <c r="A21" s="50"/>
      <c r="B21" s="65" t="s">
        <v>793</v>
      </c>
      <c r="C21" s="89"/>
      <c r="D21" s="111"/>
      <c r="E21" s="112">
        <f>INDEX(Sheet4!A3:A62,Data!Q4)</f>
        <v>38130.0</v>
      </c>
      <c r="F21" s="113"/>
      <c r="G21" s="114" t="s">
        <v>792</v>
      </c>
      <c r="H21" s="115">
        <f>INDEX(Sheet4!D3:D85,Data!R4)</f>
        <v>55520.0</v>
      </c>
      <c r="I21" s="50"/>
      <c r="J21" s="116" t="s">
        <v>685</v>
      </c>
      <c r="K21" s="117">
        <f t="shared" si="0" ref="K21:K34">O101</f>
        <v>38130.0</v>
      </c>
      <c r="L21" s="118">
        <v>30.392</v>
      </c>
      <c r="M21" s="117">
        <f>E23</f>
        <v>12.0</v>
      </c>
      <c r="N21" s="117"/>
      <c r="O21" s="50"/>
      <c r="P21" s="53" t="s">
        <v>482</v>
      </c>
      <c r="Q21" s="61">
        <v>2.0</v>
      </c>
      <c r="R21" s="110"/>
      <c r="S21" s="110"/>
      <c r="T21" s="110"/>
      <c r="U21" s="110"/>
      <c r="V21" s="55"/>
    </row>
    <row r="22" spans="8:8" ht="20.1" customHeight="1">
      <c r="A22" s="50"/>
      <c r="B22" s="65" t="s">
        <v>21</v>
      </c>
      <c r="C22" s="65"/>
      <c r="D22" s="119" t="str">
        <f>INDEX(Sheet4!G5:G17,Data!Q5)</f>
        <v>OCT21</v>
      </c>
      <c r="E22" s="120"/>
      <c r="F22" s="113"/>
      <c r="G22" s="121"/>
      <c r="H22" s="120"/>
      <c r="I22" s="50"/>
      <c r="J22" s="116" t="s">
        <v>686</v>
      </c>
      <c r="K22" s="117">
        <f t="shared" si="0"/>
        <v>38130.0</v>
      </c>
      <c r="L22" s="118">
        <v>30.392</v>
      </c>
      <c r="M22" s="117">
        <f t="shared" si="1" ref="M22:M34">IF($G$23=J22,$H$23,M21)</f>
        <v>12.0</v>
      </c>
      <c r="N22" s="117"/>
      <c r="O22" s="50"/>
      <c r="P22" s="53" t="s">
        <v>71</v>
      </c>
      <c r="Q22" s="61"/>
      <c r="R22" s="110"/>
      <c r="S22" s="110"/>
      <c r="T22" s="110"/>
      <c r="U22" s="110"/>
      <c r="V22" s="55"/>
    </row>
    <row r="23" spans="8:8" ht="20.1" customHeight="1">
      <c r="A23" s="50"/>
      <c r="B23" s="63" t="s">
        <v>20</v>
      </c>
      <c r="C23" s="63"/>
      <c r="D23" s="120"/>
      <c r="E23" s="119">
        <f>INDEX(Sheet4!M3:M6,Data!Q6)</f>
        <v>12.0</v>
      </c>
      <c r="F23" s="122" t="s">
        <v>8</v>
      </c>
      <c r="G23" s="123" t="str">
        <f>INDEX(Sheet4!G5:G17,Data!Q7)</f>
        <v>JAN22</v>
      </c>
      <c r="H23" s="119">
        <f>INDEX(Sheet4!M7:M11,Data!Q8)</f>
        <v>8.0</v>
      </c>
      <c r="I23" s="124">
        <f>INDEX(MonthDays,Data!R7)</f>
        <v>1.0</v>
      </c>
      <c r="J23" s="116" t="s">
        <v>699</v>
      </c>
      <c r="K23" s="117">
        <f t="shared" si="0"/>
        <v>38130.0</v>
      </c>
      <c r="L23" s="118">
        <v>30.392</v>
      </c>
      <c r="M23" s="117">
        <f t="shared" si="1"/>
        <v>12.0</v>
      </c>
      <c r="N23" s="117"/>
      <c r="O23" s="50"/>
      <c r="P23" s="53" t="s">
        <v>483</v>
      </c>
      <c r="Q23" s="61">
        <v>13.0</v>
      </c>
      <c r="R23" s="110"/>
      <c r="S23" s="110"/>
      <c r="T23" s="110"/>
      <c r="U23" s="110"/>
      <c r="V23" s="55"/>
    </row>
    <row r="24" spans="8:8" ht="20.1" customHeight="1">
      <c r="A24" s="50"/>
      <c r="B24" s="62" t="s">
        <v>344</v>
      </c>
      <c r="C24" s="125" t="str">
        <f>INDEX(Sheet4!P3:P5,Data!Q9)</f>
        <v>CPS</v>
      </c>
      <c r="D24" s="126">
        <v>1.23456789E8</v>
      </c>
      <c r="E24" s="127">
        <v>0.0</v>
      </c>
      <c r="F24" s="122"/>
      <c r="G24" s="123" t="str">
        <f>INDEX(Sheet4!G5:G17,Data!Q10)</f>
        <v>No Change</v>
      </c>
      <c r="H24" s="128"/>
      <c r="I24" s="50"/>
      <c r="J24" s="116" t="s">
        <v>700</v>
      </c>
      <c r="K24" s="117">
        <f t="shared" si="0"/>
        <v>38130.0</v>
      </c>
      <c r="L24" s="118">
        <v>30.392</v>
      </c>
      <c r="M24" s="117">
        <f t="shared" si="1"/>
        <v>12.0</v>
      </c>
      <c r="N24" s="117"/>
      <c r="O24" s="50"/>
      <c r="P24" s="53" t="s">
        <v>484</v>
      </c>
      <c r="Q24" s="61"/>
      <c r="R24" s="110"/>
      <c r="S24" s="110"/>
      <c r="T24" s="110"/>
      <c r="U24" s="110"/>
      <c r="V24" s="55"/>
    </row>
    <row r="25" spans="8:8" ht="20.1" customHeight="1">
      <c r="A25" s="50"/>
      <c r="B25" s="129" t="s">
        <v>433</v>
      </c>
      <c r="C25" s="129"/>
      <c r="D25" s="119" t="str">
        <f>INDEX(Sheet4!K3:K4,Q12)</f>
        <v>YES</v>
      </c>
      <c r="E25" s="130"/>
      <c r="F25" s="122"/>
      <c r="G25" s="131"/>
      <c r="H25" s="131"/>
      <c r="I25" s="50"/>
      <c r="J25" s="116" t="s">
        <v>701</v>
      </c>
      <c r="K25" s="117">
        <f t="shared" si="0"/>
        <v>38130.0</v>
      </c>
      <c r="L25" s="118">
        <v>30.392</v>
      </c>
      <c r="M25" s="117">
        <f t="shared" si="1"/>
        <v>12.0</v>
      </c>
      <c r="N25" s="117"/>
      <c r="O25" s="50"/>
      <c r="P25" s="53" t="s">
        <v>34</v>
      </c>
      <c r="Q25" s="61">
        <v>4.0</v>
      </c>
      <c r="R25" s="110"/>
      <c r="S25" s="110"/>
      <c r="T25" s="110"/>
      <c r="U25" s="110"/>
      <c r="V25" s="55"/>
    </row>
    <row r="26" spans="8:8" ht="20.1" customHeight="1">
      <c r="A26" s="50"/>
      <c r="B26" s="62" t="s">
        <v>9</v>
      </c>
      <c r="C26" s="132" t="s">
        <v>535</v>
      </c>
      <c r="D26" s="128" t="s">
        <v>691</v>
      </c>
      <c r="E26" s="133">
        <v>1000.0</v>
      </c>
      <c r="F26" s="122"/>
      <c r="G26" s="123" t="str">
        <f>INDEX(Sheet4!G5:G17,Data!Q14)</f>
        <v>No Change</v>
      </c>
      <c r="H26" s="128"/>
      <c r="I26" s="50"/>
      <c r="J26" s="116" t="s">
        <v>702</v>
      </c>
      <c r="K26" s="117">
        <f t="shared" si="0"/>
        <v>38130.0</v>
      </c>
      <c r="L26" s="118">
        <v>30.392</v>
      </c>
      <c r="M26" s="117">
        <f t="shared" si="1"/>
        <v>12.0</v>
      </c>
      <c r="N26" s="117"/>
      <c r="O26" s="50"/>
      <c r="P26" s="53" t="s">
        <v>485</v>
      </c>
      <c r="Q26" s="61">
        <v>13.0</v>
      </c>
      <c r="R26" s="110"/>
      <c r="S26" s="110"/>
      <c r="T26" s="110"/>
      <c r="U26" s="110"/>
      <c r="V26" s="55"/>
    </row>
    <row r="27" spans="8:8" ht="20.1" customHeight="1">
      <c r="A27" s="50"/>
      <c r="B27" s="65" t="s">
        <v>29</v>
      </c>
      <c r="C27" s="65"/>
      <c r="D27" s="120"/>
      <c r="E27" s="134">
        <f>INDEX(Sheet4!S3:S7,Data!Q16)</f>
        <v>90.0</v>
      </c>
      <c r="F27" s="122"/>
      <c r="G27" s="123" t="str">
        <f>INDEX(Sheet4!G5:G17,Q17)</f>
        <v>MAY21</v>
      </c>
      <c r="H27" s="135">
        <f>INDEX(Sheet4!S3:S7,Data!Q18)</f>
        <v>225.0</v>
      </c>
      <c r="I27" s="50"/>
      <c r="J27" s="116" t="s">
        <v>703</v>
      </c>
      <c r="K27" s="117">
        <f t="shared" si="0"/>
        <v>38130.0</v>
      </c>
      <c r="L27" s="118">
        <v>33.536</v>
      </c>
      <c r="M27" s="117">
        <f t="shared" si="1"/>
        <v>12.0</v>
      </c>
      <c r="N27" s="117"/>
      <c r="O27" s="50"/>
      <c r="P27" s="53" t="s">
        <v>486</v>
      </c>
      <c r="Q27" s="61">
        <v>4.0</v>
      </c>
      <c r="R27" s="110"/>
      <c r="S27" s="110"/>
      <c r="T27" s="110"/>
      <c r="U27" s="110"/>
      <c r="V27" s="55"/>
    </row>
    <row r="28" spans="8:8" ht="20.1" customHeight="1">
      <c r="A28" s="50"/>
      <c r="B28" s="65" t="s">
        <v>37</v>
      </c>
      <c r="C28" s="65"/>
      <c r="D28" s="120"/>
      <c r="E28" s="127">
        <f>INDEX(Sheet4!N3:N6,Data!Q19)</f>
        <v>30.0</v>
      </c>
      <c r="F28" s="122"/>
      <c r="G28" s="123" t="str">
        <f>INDEX(Sheet4!G5:G17,Q20)</f>
        <v>No Change</v>
      </c>
      <c r="H28" s="128">
        <f>INDEX(Sheet4!N3:N6,Q21)</f>
        <v>30.0</v>
      </c>
      <c r="I28" s="50"/>
      <c r="J28" s="116" t="s">
        <v>704</v>
      </c>
      <c r="K28" s="117">
        <f t="shared" si="0"/>
        <v>38130.0</v>
      </c>
      <c r="L28" s="118">
        <v>33.536</v>
      </c>
      <c r="M28" s="117">
        <f t="shared" si="1"/>
        <v>12.0</v>
      </c>
      <c r="N28" s="117"/>
      <c r="O28" s="50"/>
      <c r="P28" s="53" t="s">
        <v>38</v>
      </c>
      <c r="Q28" s="61"/>
      <c r="R28" s="110"/>
      <c r="S28" s="110"/>
      <c r="T28" s="110"/>
      <c r="U28" s="110"/>
      <c r="V28" s="55"/>
    </row>
    <row r="29" spans="8:8" ht="20.1" customHeight="1">
      <c r="A29" s="50"/>
      <c r="B29" s="62" t="s">
        <v>10</v>
      </c>
      <c r="C29" s="62"/>
      <c r="D29" s="120"/>
      <c r="E29" s="127">
        <v>0.0</v>
      </c>
      <c r="F29" s="122"/>
      <c r="G29" s="123" t="str">
        <f>INDEX(Sheet4!G5:G17,Q23)</f>
        <v>No Change</v>
      </c>
      <c r="H29" s="128">
        <v>0.0</v>
      </c>
      <c r="I29" s="50"/>
      <c r="J29" s="116" t="s">
        <v>705</v>
      </c>
      <c r="K29" s="117">
        <f t="shared" si="0"/>
        <v>38130.0</v>
      </c>
      <c r="L29" s="118">
        <v>33.536</v>
      </c>
      <c r="M29" s="117">
        <f t="shared" si="1"/>
        <v>12.0</v>
      </c>
      <c r="N29" s="117"/>
      <c r="O29" s="50"/>
      <c r="P29" s="53" t="s">
        <v>487</v>
      </c>
      <c r="Q29" s="61">
        <v>13.0</v>
      </c>
      <c r="R29" s="110"/>
      <c r="S29" s="110"/>
      <c r="T29" s="110"/>
      <c r="U29" s="110"/>
      <c r="V29" s="55"/>
    </row>
    <row r="30" spans="8:8" ht="20.1" customHeight="1">
      <c r="A30" s="50"/>
      <c r="B30" s="65" t="s">
        <v>34</v>
      </c>
      <c r="C30" s="65"/>
      <c r="D30" s="120"/>
      <c r="E30" s="134" t="str">
        <f>INDEX(Sheet4!R3:R6,Data!Q25)</f>
        <v>NA</v>
      </c>
      <c r="F30" s="122"/>
      <c r="G30" s="123" t="str">
        <f>INDEX(Sheet4!G5:G17,Q26)</f>
        <v>No Change</v>
      </c>
      <c r="H30" s="128" t="str">
        <f>INDEX(Sheet4!R3:R6,Data!Q27)</f>
        <v>NA</v>
      </c>
      <c r="I30" s="50"/>
      <c r="J30" s="116" t="s">
        <v>706</v>
      </c>
      <c r="K30" s="117">
        <f t="shared" si="0"/>
        <v>39160.0</v>
      </c>
      <c r="L30" s="118">
        <v>33.536</v>
      </c>
      <c r="M30" s="117">
        <f t="shared" si="1"/>
        <v>12.0</v>
      </c>
      <c r="N30" s="117"/>
      <c r="O30" s="50"/>
      <c r="P30" s="53" t="s">
        <v>488</v>
      </c>
      <c r="Q30" s="61"/>
      <c r="R30" s="110"/>
      <c r="S30" s="110"/>
      <c r="T30" s="110"/>
      <c r="U30" s="110"/>
      <c r="V30" s="55"/>
    </row>
    <row r="31" spans="8:8" ht="20.1" customHeight="1">
      <c r="A31" s="50"/>
      <c r="B31" s="65" t="s">
        <v>38</v>
      </c>
      <c r="C31" s="65"/>
      <c r="D31" s="120"/>
      <c r="E31" s="127">
        <v>0.0</v>
      </c>
      <c r="F31" s="122"/>
      <c r="G31" s="123" t="str">
        <f>INDEX(Sheet4!G5:G17,Q29)</f>
        <v>No Change</v>
      </c>
      <c r="H31" s="128">
        <v>0.0</v>
      </c>
      <c r="I31" s="50"/>
      <c r="J31" s="116" t="s">
        <v>707</v>
      </c>
      <c r="K31" s="117">
        <f t="shared" si="0"/>
        <v>39160.0</v>
      </c>
      <c r="L31" s="118">
        <v>33.536</v>
      </c>
      <c r="M31" s="117">
        <f t="shared" si="1"/>
        <v>12.0</v>
      </c>
      <c r="N31" s="117"/>
      <c r="O31" s="50"/>
      <c r="P31" s="53" t="s">
        <v>489</v>
      </c>
      <c r="Q31" s="54">
        <v>2.0</v>
      </c>
      <c r="R31" s="54">
        <v>2.0</v>
      </c>
      <c r="S31" s="53"/>
      <c r="T31" s="110"/>
      <c r="U31" s="110"/>
      <c r="V31" s="55"/>
    </row>
    <row r="32" spans="8:8" ht="20.1" customHeight="1">
      <c r="A32" s="50"/>
      <c r="B32" s="62" t="s">
        <v>423</v>
      </c>
      <c r="C32" s="136" t="str">
        <f>INDEX(Sheet4!K3:K4,Data!Q31)</f>
        <v>NO</v>
      </c>
      <c r="D32" s="55" t="str">
        <f>INDEX(Sheet4!L12:L13,Data!R31)</f>
        <v>&gt;40%</v>
      </c>
      <c r="E32" s="137">
        <f>IF(C32="YES",1350,0)</f>
        <v>0.0</v>
      </c>
      <c r="F32" s="122"/>
      <c r="G32" s="50"/>
      <c r="H32" s="50"/>
      <c r="I32" s="50"/>
      <c r="J32" s="116" t="s">
        <v>708</v>
      </c>
      <c r="K32" s="117">
        <f t="shared" si="0"/>
        <v>39160.0</v>
      </c>
      <c r="L32" s="118">
        <v>33.536</v>
      </c>
      <c r="M32" s="117">
        <f t="shared" si="1"/>
        <v>12.0</v>
      </c>
      <c r="N32" s="117"/>
      <c r="O32" s="50"/>
      <c r="P32" s="53" t="s">
        <v>42</v>
      </c>
      <c r="Q32" s="54"/>
      <c r="R32" s="53"/>
      <c r="S32" s="53"/>
      <c r="T32" s="110"/>
      <c r="U32" s="110"/>
      <c r="V32" s="55"/>
    </row>
    <row r="33" spans="8:8" ht="20.1" customHeight="1">
      <c r="A33" s="50"/>
      <c r="B33" s="65" t="s">
        <v>35</v>
      </c>
      <c r="C33" s="65"/>
      <c r="D33" s="120"/>
      <c r="E33" s="127">
        <v>0.0</v>
      </c>
      <c r="F33" s="138"/>
      <c r="G33" s="50"/>
      <c r="H33" s="50"/>
      <c r="I33" s="50"/>
      <c r="J33" s="116" t="s">
        <v>709</v>
      </c>
      <c r="K33" s="117">
        <f t="shared" si="0"/>
        <v>55520.0</v>
      </c>
      <c r="L33" s="118">
        <v>20.02</v>
      </c>
      <c r="M33" s="117">
        <f t="shared" si="1"/>
        <v>8.0</v>
      </c>
      <c r="N33" s="117"/>
      <c r="O33" s="50"/>
      <c r="P33" s="53" t="s">
        <v>43</v>
      </c>
      <c r="Q33" s="54"/>
      <c r="R33" s="53"/>
      <c r="S33" s="53"/>
      <c r="T33" s="110"/>
      <c r="U33" s="110"/>
      <c r="V33" s="55"/>
    </row>
    <row r="34" spans="8:8" ht="20.1" customHeight="1">
      <c r="A34" s="50"/>
      <c r="B34" s="65" t="s">
        <v>537</v>
      </c>
      <c r="C34" s="65"/>
      <c r="D34" s="120"/>
      <c r="E34" s="127">
        <v>0.0</v>
      </c>
      <c r="F34" s="138"/>
      <c r="G34" s="50"/>
      <c r="H34" s="50"/>
      <c r="I34" s="50"/>
      <c r="J34" s="116" t="s">
        <v>710</v>
      </c>
      <c r="K34" s="117">
        <f t="shared" si="0"/>
        <v>55520.0</v>
      </c>
      <c r="L34" s="118">
        <v>20.02</v>
      </c>
      <c r="M34" s="117">
        <f t="shared" si="1"/>
        <v>8.0</v>
      </c>
      <c r="N34" s="117"/>
      <c r="O34" s="50"/>
      <c r="P34" s="53" t="s">
        <v>347</v>
      </c>
      <c r="Q34" s="54">
        <v>2.0</v>
      </c>
      <c r="R34" s="53"/>
      <c r="S34" s="53"/>
      <c r="T34" s="110"/>
      <c r="U34" s="110"/>
      <c r="V34" s="55"/>
    </row>
    <row r="35" spans="8:8" ht="20.1" customHeight="1">
      <c r="A35" s="50"/>
      <c r="B35" s="65" t="s">
        <v>36</v>
      </c>
      <c r="C35" s="65"/>
      <c r="D35" s="120"/>
      <c r="E35" s="127">
        <v>0.0</v>
      </c>
      <c r="F35" s="138"/>
      <c r="G35" s="50"/>
      <c r="H35" s="50"/>
      <c r="I35" s="50"/>
      <c r="J35" s="50"/>
      <c r="K35" s="50"/>
      <c r="L35" s="50"/>
      <c r="M35" s="50"/>
      <c r="N35" s="50"/>
      <c r="O35" s="50"/>
      <c r="P35" s="53" t="s">
        <v>490</v>
      </c>
      <c r="Q35" s="54">
        <v>13.0</v>
      </c>
      <c r="R35" s="53"/>
      <c r="S35" s="53"/>
      <c r="T35" s="110"/>
      <c r="U35" s="110"/>
      <c r="V35" s="55"/>
    </row>
    <row r="36" spans="8:8" ht="20.1" customHeight="1">
      <c r="A36" s="50"/>
      <c r="B36" s="65" t="s">
        <v>42</v>
      </c>
      <c r="C36" s="65"/>
      <c r="D36" s="120"/>
      <c r="E36" s="130">
        <f>INDEX(Sheet4!Q3:Q4,Data!Q64)</f>
        <v>20.0</v>
      </c>
      <c r="F36" s="138"/>
      <c r="G36" s="50"/>
      <c r="H36" s="50"/>
      <c r="I36" s="50"/>
      <c r="J36" s="50"/>
      <c r="K36" s="50"/>
      <c r="L36" s="50"/>
      <c r="M36" s="50"/>
      <c r="N36" s="50"/>
      <c r="O36" s="50"/>
      <c r="P36" s="53" t="s">
        <v>491</v>
      </c>
      <c r="Q36" s="61">
        <v>22.0</v>
      </c>
      <c r="R36" s="110"/>
      <c r="S36" s="110"/>
      <c r="T36" s="110"/>
      <c r="U36" s="110"/>
      <c r="V36" s="55"/>
    </row>
    <row r="37" spans="8:8" ht="20.1" customHeight="1">
      <c r="A37" s="50"/>
      <c r="B37" s="65" t="s">
        <v>43</v>
      </c>
      <c r="C37" s="65"/>
      <c r="D37" s="120"/>
      <c r="E37" s="130">
        <f>INDEX(Sheet4!Q7:Q8,Data!Q65)</f>
        <v>50.0</v>
      </c>
      <c r="F37" s="138"/>
      <c r="G37" s="50"/>
      <c r="H37" s="50"/>
      <c r="I37" s="50"/>
      <c r="J37" s="50"/>
      <c r="K37" s="50"/>
      <c r="L37" s="50"/>
      <c r="M37" s="50"/>
      <c r="N37" s="50"/>
      <c r="O37" s="50"/>
      <c r="P37" s="53" t="s">
        <v>492</v>
      </c>
      <c r="Q37" s="61">
        <v>2.0</v>
      </c>
      <c r="R37" s="110"/>
      <c r="S37" s="110"/>
      <c r="T37" s="110"/>
      <c r="U37" s="110"/>
      <c r="V37" s="55"/>
    </row>
    <row r="38" spans="8:8" ht="20.1" customHeight="1">
      <c r="A38" s="50"/>
      <c r="B38" s="139" t="s">
        <v>31</v>
      </c>
      <c r="C38" s="140" t="str">
        <f>INDEX(Sheet4!K3:K4,Q34)</f>
        <v>NO</v>
      </c>
      <c r="D38" s="141" t="str">
        <f>INDEX(Sheet4!G5:G17,Q35)</f>
        <v>No Change</v>
      </c>
      <c r="E38" s="134">
        <f>INDEX(MonthDays,Data!Q36)</f>
        <v>22.0</v>
      </c>
      <c r="F38" s="138"/>
      <c r="G38" s="50"/>
      <c r="H38" s="50"/>
      <c r="I38" s="50"/>
      <c r="J38" s="50"/>
      <c r="K38" s="50"/>
      <c r="L38" s="50"/>
      <c r="M38" s="50"/>
      <c r="N38" s="50"/>
      <c r="O38" s="50"/>
      <c r="P38" s="53" t="s">
        <v>493</v>
      </c>
      <c r="Q38" s="61">
        <v>13.0</v>
      </c>
      <c r="R38" s="110"/>
      <c r="S38" s="61">
        <f t="shared" si="2" ref="S38:S40">E38</f>
        <v>22.0</v>
      </c>
      <c r="T38" s="110"/>
      <c r="U38" s="110"/>
      <c r="V38" s="55"/>
    </row>
    <row r="39" spans="8:8" ht="20.1" customHeight="1">
      <c r="A39" s="50"/>
      <c r="B39" s="139" t="s">
        <v>44</v>
      </c>
      <c r="C39" s="140" t="str">
        <f>INDEX(Sheet4!K3:K4,Q37)</f>
        <v>NO</v>
      </c>
      <c r="D39" s="141" t="str">
        <f>INDEX(Sheet4!G5:G17,Q38)</f>
        <v>No Change</v>
      </c>
      <c r="E39" s="134">
        <f>INDEX(Sheet4!N3:N4,Data!Q39)</f>
        <v>30.0</v>
      </c>
      <c r="F39" s="138"/>
      <c r="G39" s="50"/>
      <c r="H39" s="50"/>
      <c r="I39" s="50"/>
      <c r="J39" s="50"/>
      <c r="K39" s="50"/>
      <c r="L39" s="50"/>
      <c r="M39" s="50"/>
      <c r="N39" s="50"/>
      <c r="O39" s="50"/>
      <c r="P39" s="53" t="s">
        <v>494</v>
      </c>
      <c r="Q39" s="61">
        <v>2.0</v>
      </c>
      <c r="R39" s="110"/>
      <c r="S39" s="61">
        <f t="shared" si="2"/>
        <v>30.0</v>
      </c>
      <c r="T39" s="110"/>
      <c r="U39" s="110"/>
      <c r="V39" s="55"/>
    </row>
    <row r="40" spans="8:8" ht="20.1" customHeight="1">
      <c r="A40" s="50"/>
      <c r="B40" s="139" t="s">
        <v>436</v>
      </c>
      <c r="C40" s="140" t="str">
        <f>INDEX(Sheet4!K3:K4,Q40)</f>
        <v>NO</v>
      </c>
      <c r="D40" s="141" t="str">
        <f>INDEX(Sheet4!G5:G17,Q41)</f>
        <v>No Change</v>
      </c>
      <c r="E40" s="134">
        <f>INDEX(MonthDays,Data!Q42)</f>
        <v>2.0</v>
      </c>
      <c r="F40" s="138"/>
      <c r="G40" s="50"/>
      <c r="H40" s="50"/>
      <c r="I40" s="50"/>
      <c r="J40" s="50"/>
      <c r="K40" s="50"/>
      <c r="L40" s="50"/>
      <c r="M40" s="50"/>
      <c r="N40" s="50"/>
      <c r="O40" s="50"/>
      <c r="P40" s="53" t="s">
        <v>249</v>
      </c>
      <c r="Q40" s="61">
        <v>2.0</v>
      </c>
      <c r="R40" s="110"/>
      <c r="S40" s="61">
        <f t="shared" si="2"/>
        <v>2.0</v>
      </c>
      <c r="T40" s="110"/>
      <c r="U40" s="110"/>
      <c r="V40" s="55"/>
    </row>
    <row r="41" spans="8:8" ht="20.1" customHeight="1">
      <c r="A41" s="50"/>
      <c r="B41" s="142" t="s">
        <v>405</v>
      </c>
      <c r="C41" s="142"/>
      <c r="D41" s="115"/>
      <c r="E41" s="128"/>
      <c r="F41" s="138"/>
      <c r="G41" s="50"/>
      <c r="H41" s="50"/>
      <c r="I41" s="50"/>
      <c r="J41" s="50"/>
      <c r="K41" s="50"/>
      <c r="L41" s="50"/>
      <c r="M41" s="50"/>
      <c r="N41" s="50"/>
      <c r="O41" s="50"/>
      <c r="P41" s="53" t="s">
        <v>495</v>
      </c>
      <c r="Q41" s="61">
        <v>13.0</v>
      </c>
      <c r="R41" s="110"/>
      <c r="S41" s="110"/>
      <c r="T41" s="110"/>
      <c r="U41" s="110"/>
      <c r="V41" s="55"/>
    </row>
    <row r="42" spans="8:8" ht="20.1" customHeight="1">
      <c r="A42" s="50"/>
      <c r="B42" s="143" t="s">
        <v>437</v>
      </c>
      <c r="C42" s="144" t="s">
        <v>516</v>
      </c>
      <c r="D42" s="145"/>
      <c r="E42" s="145"/>
      <c r="F42" s="146"/>
      <c r="G42" s="50"/>
      <c r="H42" s="50"/>
      <c r="I42" s="50"/>
      <c r="J42" s="50"/>
      <c r="K42" s="50"/>
      <c r="L42" s="50"/>
      <c r="M42" s="50"/>
      <c r="N42" s="50"/>
      <c r="O42" s="50"/>
      <c r="P42" s="53" t="s">
        <v>496</v>
      </c>
      <c r="Q42" s="61">
        <v>2.0</v>
      </c>
      <c r="R42" s="110"/>
      <c r="S42" s="110"/>
      <c r="T42" s="110"/>
      <c r="U42" s="110"/>
      <c r="V42" s="55"/>
    </row>
    <row r="43" spans="8:8" ht="20.1" customHeight="1">
      <c r="A43" s="50"/>
      <c r="B43" s="147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3" t="s">
        <v>497</v>
      </c>
      <c r="Q43" s="54">
        <v>1.0</v>
      </c>
      <c r="R43" s="53"/>
      <c r="S43" s="53"/>
      <c r="T43" s="53"/>
      <c r="U43" s="53"/>
      <c r="V43" s="55"/>
    </row>
    <row r="44" spans="8:8" ht="20.1" customHeight="1">
      <c r="A44" s="50"/>
      <c r="B44" s="50"/>
      <c r="C44" s="50"/>
      <c r="D44" s="50"/>
      <c r="E44" s="50"/>
      <c r="F44" s="50"/>
      <c r="G44" s="148"/>
      <c r="H44" s="148"/>
      <c r="I44" s="148"/>
      <c r="J44" s="148"/>
      <c r="K44" s="148"/>
      <c r="L44" s="148"/>
      <c r="M44" s="148"/>
      <c r="N44" s="148"/>
      <c r="O44" s="50"/>
      <c r="P44" s="53" t="s">
        <v>498</v>
      </c>
      <c r="Q44" s="54">
        <v>10.0</v>
      </c>
      <c r="R44" s="53"/>
      <c r="S44" s="53"/>
      <c r="T44" s="53"/>
      <c r="U44" s="53"/>
      <c r="V44" s="55"/>
    </row>
    <row r="45" spans="8:8" ht="20.1" customHeight="1">
      <c r="A45" s="50"/>
      <c r="B45" s="50"/>
      <c r="C45" s="50"/>
      <c r="D45" s="50"/>
      <c r="E45" s="50"/>
      <c r="F45" s="50"/>
      <c r="G45" s="149"/>
      <c r="H45" s="149"/>
      <c r="I45" s="150"/>
      <c r="J45" s="150"/>
      <c r="K45" s="150"/>
      <c r="L45" s="150"/>
      <c r="M45" s="150"/>
      <c r="N45" s="150"/>
      <c r="O45" s="50"/>
      <c r="P45" s="53" t="s">
        <v>499</v>
      </c>
      <c r="Q45" s="54">
        <v>9.0</v>
      </c>
      <c r="R45" s="53"/>
      <c r="S45" s="53"/>
      <c r="T45" s="53"/>
      <c r="U45" s="53"/>
      <c r="V45" s="55"/>
    </row>
    <row r="46" spans="8:8" ht="20.1" customHeight="1">
      <c r="A46" s="50"/>
      <c r="B46" s="151" t="s">
        <v>13</v>
      </c>
      <c r="C46" s="152"/>
      <c r="D46" s="152"/>
      <c r="E46" s="152"/>
      <c r="F46" s="153"/>
      <c r="G46" s="154" t="s">
        <v>46</v>
      </c>
      <c r="H46" s="155"/>
      <c r="I46" s="156" t="s">
        <v>658</v>
      </c>
      <c r="J46" s="156"/>
      <c r="K46" s="156"/>
      <c r="L46" s="156"/>
      <c r="M46" s="156"/>
      <c r="N46" s="156"/>
      <c r="O46" s="156"/>
      <c r="P46" s="53" t="s">
        <v>500</v>
      </c>
      <c r="Q46" s="54">
        <v>7.0</v>
      </c>
      <c r="R46" s="53"/>
      <c r="S46" s="53"/>
      <c r="T46" s="53"/>
      <c r="U46" s="53"/>
      <c r="V46" s="55"/>
    </row>
    <row r="47" spans="8:8" ht="20.1" customHeight="1">
      <c r="A47" s="50"/>
      <c r="B47" s="157" t="str">
        <f>INDEX(Sheet4!H3:H22,Data!Q44)</f>
        <v>Life Insurance Premium</v>
      </c>
      <c r="C47" s="157"/>
      <c r="D47" s="158" t="str">
        <f>J3</f>
        <v>Sri. P. Pothan Prasad tax to be paid is  44056</v>
      </c>
      <c r="E47" s="159">
        <v>0.0</v>
      </c>
      <c r="F47" s="160"/>
      <c r="G47" s="161" t="s">
        <v>699</v>
      </c>
      <c r="H47" s="162">
        <v>0.0</v>
      </c>
      <c r="I47" s="163" t="s">
        <v>657</v>
      </c>
      <c r="J47" s="163"/>
      <c r="K47" s="164" t="s">
        <v>655</v>
      </c>
      <c r="L47" s="164"/>
      <c r="M47" s="165" t="s">
        <v>656</v>
      </c>
      <c r="N47" s="165"/>
      <c r="O47" s="165"/>
      <c r="P47" s="53" t="s">
        <v>501</v>
      </c>
      <c r="Q47" s="54">
        <v>19.0</v>
      </c>
      <c r="R47" s="53"/>
      <c r="S47" s="53"/>
      <c r="T47" s="53"/>
      <c r="U47" s="53"/>
      <c r="V47" s="55"/>
    </row>
    <row r="48" spans="8:8" ht="20.1" customHeight="1">
      <c r="A48" s="50"/>
      <c r="B48" s="157" t="str">
        <f>INDEX(Sheet4!H3:H22,Data!Q45)</f>
        <v>Children’s Tuition Fees</v>
      </c>
      <c r="C48" s="157"/>
      <c r="D48" s="166"/>
      <c r="E48" s="167">
        <v>0.0</v>
      </c>
      <c r="F48" s="168"/>
      <c r="G48" s="161" t="s">
        <v>700</v>
      </c>
      <c r="H48" s="169">
        <v>0.0</v>
      </c>
      <c r="I48" s="170" t="s">
        <v>675</v>
      </c>
      <c r="J48" s="170"/>
      <c r="K48" s="171">
        <v>0.0</v>
      </c>
      <c r="L48" s="171"/>
      <c r="M48" s="171">
        <v>0.0</v>
      </c>
      <c r="N48" s="171"/>
      <c r="O48" s="171"/>
      <c r="P48" s="53" t="s">
        <v>502</v>
      </c>
      <c r="Q48" s="54">
        <v>4.0</v>
      </c>
      <c r="R48" s="53"/>
      <c r="S48" s="53"/>
      <c r="T48" s="53"/>
      <c r="U48" s="53"/>
      <c r="V48" s="55"/>
    </row>
    <row r="49" spans="8:8" ht="20.1" customHeight="1">
      <c r="A49" s="50"/>
      <c r="B49" s="157" t="str">
        <f>INDEX(Sheet4!H3:H22,Data!Q46)</f>
        <v>National Savings Certificates (NSC)</v>
      </c>
      <c r="C49" s="157"/>
      <c r="D49" s="166"/>
      <c r="E49" s="167">
        <v>0.0</v>
      </c>
      <c r="F49" s="168"/>
      <c r="G49" s="161" t="s">
        <v>701</v>
      </c>
      <c r="H49" s="169">
        <v>0.0</v>
      </c>
      <c r="I49" s="170" t="s">
        <v>650</v>
      </c>
      <c r="J49" s="170"/>
      <c r="K49" s="171">
        <v>0.0</v>
      </c>
      <c r="L49" s="171"/>
      <c r="M49" s="171">
        <v>0.0</v>
      </c>
      <c r="N49" s="171"/>
      <c r="O49" s="171"/>
      <c r="P49" s="53" t="s">
        <v>503</v>
      </c>
      <c r="Q49" s="54">
        <v>12.0</v>
      </c>
      <c r="R49" s="53"/>
      <c r="S49" s="53"/>
      <c r="T49" s="53"/>
      <c r="U49" s="53"/>
      <c r="V49" s="55"/>
    </row>
    <row r="50" spans="8:8" ht="20.1" customHeight="1">
      <c r="A50" s="50"/>
      <c r="B50" s="172" t="str">
        <f>INDEX(Sheet4!H3:H22,Data!Q47)</f>
        <v>Exide Life Insurance</v>
      </c>
      <c r="C50" s="172"/>
      <c r="D50" s="166"/>
      <c r="E50" s="167">
        <v>0.0</v>
      </c>
      <c r="F50" s="168"/>
      <c r="G50" s="161" t="s">
        <v>702</v>
      </c>
      <c r="H50" s="169">
        <v>0.0</v>
      </c>
      <c r="I50" s="170" t="s">
        <v>651</v>
      </c>
      <c r="J50" s="170"/>
      <c r="K50" s="171">
        <v>0.0</v>
      </c>
      <c r="L50" s="171"/>
      <c r="M50" s="171">
        <v>0.0</v>
      </c>
      <c r="N50" s="171"/>
      <c r="O50" s="171"/>
      <c r="P50" s="53" t="s">
        <v>504</v>
      </c>
      <c r="Q50" s="54">
        <v>20.0</v>
      </c>
      <c r="R50" s="53"/>
      <c r="S50" s="53"/>
      <c r="T50" s="53"/>
      <c r="U50" s="53"/>
      <c r="V50" s="55"/>
    </row>
    <row r="51" spans="8:8" ht="20.1" customHeight="1">
      <c r="A51" s="50"/>
      <c r="B51" s="157" t="str">
        <f>INDEX(Sheet4!H3:H22,Q48)</f>
        <v>Sukanya Samriddhi Account Deposit Scheme</v>
      </c>
      <c r="C51" s="157"/>
      <c r="D51" s="166"/>
      <c r="E51" s="167">
        <v>0.0</v>
      </c>
      <c r="F51" s="168"/>
      <c r="G51" s="161" t="s">
        <v>703</v>
      </c>
      <c r="H51" s="169">
        <v>0.0</v>
      </c>
      <c r="I51" s="170" t="s">
        <v>652</v>
      </c>
      <c r="J51" s="170"/>
      <c r="K51" s="171">
        <v>0.0</v>
      </c>
      <c r="L51" s="171"/>
      <c r="M51" s="171">
        <v>0.0</v>
      </c>
      <c r="N51" s="171"/>
      <c r="O51" s="171"/>
      <c r="P51" s="53" t="s">
        <v>505</v>
      </c>
      <c r="Q51" s="54">
        <v>11.0</v>
      </c>
      <c r="R51" s="53"/>
      <c r="S51" s="53"/>
      <c r="T51" s="53"/>
      <c r="U51" s="53"/>
      <c r="V51" s="55"/>
    </row>
    <row r="52" spans="8:8" ht="20.1" customHeight="1">
      <c r="A52" s="50"/>
      <c r="B52" s="157" t="str">
        <f>INDEX(Sheet4!H3:H22,Q49)</f>
        <v>Repayment of Home Loan (Principal only)</v>
      </c>
      <c r="C52" s="157"/>
      <c r="D52" s="166"/>
      <c r="E52" s="167">
        <v>0.0</v>
      </c>
      <c r="F52" s="168"/>
      <c r="G52" s="161" t="s">
        <v>704</v>
      </c>
      <c r="H52" s="169">
        <v>0.0</v>
      </c>
      <c r="I52" s="170" t="s">
        <v>653</v>
      </c>
      <c r="J52" s="170"/>
      <c r="K52" s="171">
        <v>0.0</v>
      </c>
      <c r="L52" s="171"/>
      <c r="M52" s="171">
        <v>0.0</v>
      </c>
      <c r="N52" s="171"/>
      <c r="O52" s="171"/>
      <c r="P52" s="53" t="s">
        <v>506</v>
      </c>
      <c r="Q52" s="54">
        <v>17.0</v>
      </c>
      <c r="R52" s="53"/>
      <c r="S52" s="53"/>
      <c r="T52" s="53"/>
      <c r="U52" s="53"/>
      <c r="V52" s="55"/>
    </row>
    <row r="53" spans="8:8" ht="20.1" customHeight="1">
      <c r="A53" s="50"/>
      <c r="B53" s="173" t="str">
        <f>INDEX(Sheet4!H3:H22,Data!Q50)</f>
        <v>Other</v>
      </c>
      <c r="C53" s="173"/>
      <c r="D53" s="166"/>
      <c r="E53" s="167">
        <v>0.0</v>
      </c>
      <c r="F53" s="168"/>
      <c r="G53" s="161" t="s">
        <v>705</v>
      </c>
      <c r="H53" s="128">
        <v>0.0</v>
      </c>
      <c r="I53" s="50"/>
      <c r="J53" s="50"/>
      <c r="K53" s="50"/>
      <c r="L53" s="50"/>
      <c r="M53" s="50"/>
      <c r="N53" s="50"/>
      <c r="O53" s="50"/>
      <c r="P53" s="53" t="s">
        <v>507</v>
      </c>
      <c r="Q53" s="54">
        <v>17.0</v>
      </c>
      <c r="R53" s="53"/>
      <c r="S53" s="53"/>
      <c r="T53" s="53"/>
      <c r="U53" s="53"/>
      <c r="V53" s="55"/>
    </row>
    <row r="54" spans="8:8" ht="20.1" customHeight="1">
      <c r="A54" s="50"/>
      <c r="B54" s="174"/>
      <c r="C54" s="174"/>
      <c r="D54" s="166"/>
      <c r="E54" s="175">
        <f>INDEX(Sheet4!T3:T5,Q66)</f>
        <v>200.0</v>
      </c>
      <c r="F54" s="176"/>
      <c r="G54" s="161" t="s">
        <v>706</v>
      </c>
      <c r="H54" s="128">
        <v>0.0</v>
      </c>
      <c r="I54" s="50"/>
      <c r="J54" s="50"/>
      <c r="K54" s="50"/>
      <c r="L54" s="50"/>
      <c r="M54" s="50"/>
      <c r="N54" s="50"/>
      <c r="O54" s="50"/>
      <c r="P54" s="53" t="s">
        <v>508</v>
      </c>
      <c r="Q54" s="54">
        <v>18.0</v>
      </c>
      <c r="R54" s="53"/>
      <c r="S54" s="53"/>
      <c r="T54" s="53"/>
      <c r="U54" s="53"/>
      <c r="V54" s="55"/>
    </row>
    <row r="55" spans="8:8" ht="20.1" customHeight="1">
      <c r="A55" s="50"/>
      <c r="B55" s="177"/>
      <c r="C55" s="178"/>
      <c r="D55" s="179"/>
      <c r="E55" s="180">
        <v>0.0</v>
      </c>
      <c r="F55" s="181"/>
      <c r="G55" s="161" t="s">
        <v>707</v>
      </c>
      <c r="H55" s="128">
        <v>0.0</v>
      </c>
      <c r="I55" s="50"/>
      <c r="J55" s="50"/>
      <c r="K55" s="50"/>
      <c r="L55" s="50"/>
      <c r="M55" s="50"/>
      <c r="N55" s="50"/>
      <c r="O55" s="50"/>
      <c r="P55" s="53" t="s">
        <v>509</v>
      </c>
      <c r="Q55" s="54">
        <v>13.0</v>
      </c>
      <c r="R55" s="53"/>
      <c r="S55" s="53"/>
      <c r="T55" s="53"/>
      <c r="U55" s="53"/>
      <c r="V55" s="55"/>
    </row>
    <row r="56" spans="8:8" ht="20.1" customHeight="1">
      <c r="A56" s="50"/>
      <c r="B56" s="182"/>
      <c r="C56" s="183" t="s">
        <v>171</v>
      </c>
      <c r="D56" s="184" t="s">
        <v>554</v>
      </c>
      <c r="E56" s="185" t="s">
        <v>692</v>
      </c>
      <c r="F56" s="186"/>
      <c r="G56" s="161" t="s">
        <v>708</v>
      </c>
      <c r="H56" s="128">
        <v>0.0</v>
      </c>
      <c r="I56" s="50"/>
      <c r="J56" s="50"/>
      <c r="K56" s="50"/>
      <c r="L56" s="50"/>
      <c r="M56" s="50"/>
      <c r="N56" s="50"/>
      <c r="O56" s="50"/>
      <c r="P56" s="53" t="s">
        <v>510</v>
      </c>
      <c r="Q56" s="54">
        <v>8.0</v>
      </c>
      <c r="R56" s="53"/>
      <c r="S56" s="53"/>
      <c r="T56" s="53"/>
      <c r="U56" s="53"/>
      <c r="V56" s="55"/>
    </row>
    <row r="57" spans="8:8" ht="20.1" customHeight="1">
      <c r="A57" s="50"/>
      <c r="B57" s="187" t="s">
        <v>711</v>
      </c>
      <c r="C57" s="188">
        <v>0.0</v>
      </c>
      <c r="D57" s="188">
        <v>0.0</v>
      </c>
      <c r="E57" s="189">
        <f>C57-D57</f>
        <v>0.0</v>
      </c>
      <c r="F57" s="190" t="e">
        <f>VLOOKUP(E59,L200:R212,7,FALSE)</f>
        <v>#N/A</v>
      </c>
      <c r="G57" s="161" t="s">
        <v>709</v>
      </c>
      <c r="H57" s="128">
        <v>0.0</v>
      </c>
      <c r="I57" s="50"/>
      <c r="J57" s="50"/>
      <c r="K57" s="50"/>
      <c r="L57" s="50"/>
      <c r="M57" s="50"/>
      <c r="N57" s="50"/>
      <c r="O57" s="50"/>
      <c r="P57" s="53" t="s">
        <v>511</v>
      </c>
      <c r="Q57" s="54">
        <v>1.0</v>
      </c>
      <c r="R57" s="53"/>
      <c r="S57" s="53"/>
      <c r="T57" s="53"/>
      <c r="U57" s="53"/>
      <c r="V57" s="55"/>
    </row>
    <row r="58" spans="8:8" ht="20.1" customHeight="1">
      <c r="A58" s="50"/>
      <c r="B58" s="191" t="s">
        <v>556</v>
      </c>
      <c r="C58" s="192">
        <v>0.0</v>
      </c>
      <c r="D58" s="141">
        <v>0.0</v>
      </c>
      <c r="E58" s="189">
        <f>C58-D58</f>
        <v>0.0</v>
      </c>
      <c r="F58" s="193"/>
      <c r="G58" s="161" t="s">
        <v>710</v>
      </c>
      <c r="H58" s="128">
        <v>0.0</v>
      </c>
      <c r="I58" s="50"/>
      <c r="J58" s="50"/>
      <c r="K58" s="50"/>
      <c r="L58" s="50"/>
      <c r="M58" s="50"/>
      <c r="N58" s="50"/>
      <c r="O58" s="50"/>
      <c r="P58" s="53" t="s">
        <v>512</v>
      </c>
      <c r="Q58" s="54">
        <v>2.0</v>
      </c>
      <c r="R58" s="53"/>
      <c r="S58" s="53"/>
      <c r="T58" s="53"/>
      <c r="U58" s="53"/>
      <c r="V58" s="55"/>
    </row>
    <row r="59" spans="8:8" ht="25.5" customHeight="1">
      <c r="A59" s="50"/>
      <c r="B59" s="194"/>
      <c r="C59" s="195"/>
      <c r="D59" s="196" t="s">
        <v>687</v>
      </c>
      <c r="E59" s="197" t="s">
        <v>684</v>
      </c>
      <c r="F59" s="198"/>
      <c r="G59" s="199" t="s">
        <v>250</v>
      </c>
      <c r="H59" s="200">
        <f>SUM(H47:H58)</f>
        <v>0.0</v>
      </c>
      <c r="I59" s="50"/>
      <c r="J59" s="50"/>
      <c r="K59" s="50"/>
      <c r="L59" s="50"/>
      <c r="M59" s="50"/>
      <c r="N59" s="50"/>
      <c r="O59" s="50"/>
      <c r="P59" s="53" t="str">
        <f>B66</f>
        <v>80DDB Expenditure on Medical Treatment</v>
      </c>
      <c r="Q59" s="54">
        <v>1.0</v>
      </c>
      <c r="R59" s="53"/>
      <c r="S59" s="53"/>
      <c r="T59" s="53"/>
      <c r="U59" s="53"/>
      <c r="V59" s="55"/>
    </row>
    <row r="60" spans="8:8" ht="29.25" customHeight="1">
      <c r="A60" s="50"/>
      <c r="B60" s="201" t="s">
        <v>670</v>
      </c>
      <c r="C60" s="202"/>
      <c r="D60" s="202"/>
      <c r="E60" s="203" t="str">
        <f>INDEX(Sheet4!K3:K4,Q67)</f>
        <v>NO</v>
      </c>
      <c r="F60" s="204"/>
      <c r="G60" s="205"/>
      <c r="H60" s="206"/>
      <c r="I60" s="50"/>
      <c r="J60" s="50"/>
      <c r="K60" s="50"/>
      <c r="L60" s="50"/>
      <c r="M60" s="50"/>
      <c r="N60" s="50"/>
      <c r="O60" s="50"/>
      <c r="P60" s="53" t="str">
        <f>B67</f>
        <v>80D Preventive Health Checkup </v>
      </c>
      <c r="Q60" s="54">
        <v>2.0</v>
      </c>
      <c r="R60" s="53"/>
      <c r="S60" s="53"/>
      <c r="T60" s="53"/>
      <c r="U60" s="53"/>
      <c r="V60" s="55"/>
    </row>
    <row r="61" spans="8:8" ht="20.1" customHeight="1">
      <c r="A61" s="50"/>
      <c r="B61" s="207" t="s">
        <v>556</v>
      </c>
      <c r="C61" s="208" t="s">
        <v>171</v>
      </c>
      <c r="D61" s="208" t="s">
        <v>554</v>
      </c>
      <c r="E61" s="209" t="s">
        <v>555</v>
      </c>
      <c r="F61" s="209"/>
      <c r="G61" s="50"/>
      <c r="H61" s="50"/>
      <c r="I61" s="210"/>
      <c r="J61" s="210"/>
      <c r="K61" s="210"/>
      <c r="L61" s="210"/>
      <c r="M61" s="210"/>
      <c r="N61" s="210"/>
      <c r="O61" s="210"/>
      <c r="P61" s="53" t="str">
        <f>B68</f>
        <v>80D Medical Insurance Premium </v>
      </c>
      <c r="Q61" s="54">
        <v>2.0</v>
      </c>
      <c r="R61" s="53"/>
      <c r="S61" s="53"/>
      <c r="T61" s="53"/>
      <c r="U61" s="53"/>
      <c r="V61" s="55"/>
    </row>
    <row r="62" spans="8:8" ht="20.1" customHeight="1">
      <c r="A62" s="50"/>
      <c r="B62" s="207"/>
      <c r="C62" s="211">
        <v>0.0</v>
      </c>
      <c r="D62" s="211">
        <v>0.0</v>
      </c>
      <c r="E62" s="212">
        <f>C62-D62</f>
        <v>0.0</v>
      </c>
      <c r="F62" s="212"/>
      <c r="G62" s="50"/>
      <c r="H62" s="50"/>
      <c r="I62" s="210"/>
      <c r="J62" s="210"/>
      <c r="K62" s="210"/>
      <c r="L62" s="210"/>
      <c r="M62" s="210"/>
      <c r="N62" s="210"/>
      <c r="O62" s="210"/>
      <c r="P62" s="53" t="str">
        <f>B69</f>
        <v>80G Donation of Charitable Trust</v>
      </c>
      <c r="Q62" s="54">
        <v>1.0</v>
      </c>
      <c r="R62" s="53"/>
      <c r="S62" s="53"/>
      <c r="T62" s="53"/>
      <c r="U62" s="53"/>
      <c r="V62" s="55"/>
    </row>
    <row r="63" spans="8:8" ht="20.1" customHeight="1">
      <c r="A63" s="50"/>
      <c r="B63" s="213" t="s">
        <v>69</v>
      </c>
      <c r="C63" s="213" t="s">
        <v>51</v>
      </c>
      <c r="D63" s="213" t="s">
        <v>667</v>
      </c>
      <c r="E63" s="214" t="s">
        <v>38</v>
      </c>
      <c r="F63" s="214"/>
      <c r="G63" s="213" t="s">
        <v>171</v>
      </c>
      <c r="H63" s="213" t="s">
        <v>668</v>
      </c>
      <c r="I63" s="214" t="s">
        <v>669</v>
      </c>
      <c r="J63" s="214"/>
      <c r="K63" s="214" t="s">
        <v>672</v>
      </c>
      <c r="L63" s="214"/>
      <c r="M63" s="215"/>
      <c r="N63" s="215"/>
      <c r="O63" s="215"/>
      <c r="P63" s="53" t="str">
        <f>B71</f>
        <v>80D Deduction for Disabled dependent</v>
      </c>
      <c r="Q63" s="54">
        <v>3.0</v>
      </c>
      <c r="R63" s="53"/>
      <c r="S63" s="53"/>
      <c r="T63" s="53"/>
      <c r="U63" s="53"/>
      <c r="V63" s="55"/>
    </row>
    <row r="64" spans="8:8" ht="20.1" customHeight="1">
      <c r="A64" s="50"/>
      <c r="B64" s="216">
        <v>0.0</v>
      </c>
      <c r="C64" s="216">
        <v>0.0</v>
      </c>
      <c r="D64" s="216">
        <v>0.0</v>
      </c>
      <c r="E64" s="217" t="s">
        <v>682</v>
      </c>
      <c r="F64" s="217"/>
      <c r="G64" s="213">
        <f>SUM(B64:F64)</f>
        <v>0.0</v>
      </c>
      <c r="H64" s="216">
        <v>0.0</v>
      </c>
      <c r="I64" s="218">
        <v>0.0</v>
      </c>
      <c r="J64" s="218"/>
      <c r="K64" s="214">
        <f>G64-(H64+I64)</f>
        <v>0.0</v>
      </c>
      <c r="L64" s="214"/>
      <c r="M64" s="50"/>
      <c r="N64" s="50"/>
      <c r="O64" s="50"/>
      <c r="P64" s="53" t="s">
        <v>42</v>
      </c>
      <c r="Q64" s="54">
        <v>1.0</v>
      </c>
      <c r="R64" s="55"/>
      <c r="S64" s="55"/>
      <c r="T64" s="55"/>
      <c r="U64" s="55"/>
      <c r="V64" s="55"/>
    </row>
    <row r="65" spans="8:8" ht="20.1" customHeight="1">
      <c r="A65" s="50"/>
      <c r="B65" s="219" t="s">
        <v>24</v>
      </c>
      <c r="C65" s="220"/>
      <c r="D65" s="220"/>
      <c r="E65" s="219" t="s">
        <v>41</v>
      </c>
      <c r="F65" s="93"/>
      <c r="G65" s="221" t="s">
        <v>40</v>
      </c>
      <c r="H65" s="221"/>
      <c r="I65" s="50"/>
      <c r="J65" s="50"/>
      <c r="K65" s="50"/>
      <c r="L65" s="50"/>
      <c r="M65" s="50"/>
      <c r="N65" s="50"/>
      <c r="O65" s="50"/>
      <c r="P65" s="53" t="s">
        <v>43</v>
      </c>
      <c r="Q65" s="54">
        <v>1.0</v>
      </c>
      <c r="R65" s="55"/>
      <c r="S65" s="55"/>
      <c r="T65" s="55"/>
      <c r="U65" s="55"/>
      <c r="V65" s="55"/>
    </row>
    <row r="66" spans="8:8" ht="32.25" customHeight="1">
      <c r="A66" s="50"/>
      <c r="B66" s="222" t="s">
        <v>25</v>
      </c>
      <c r="C66" s="223"/>
      <c r="D66" s="224" t="str">
        <f>INDEX(Sheet4!L16:L17,Data!Q59)</f>
        <v>S.Citizen</v>
      </c>
      <c r="E66" s="225">
        <v>0.0</v>
      </c>
      <c r="F66" s="226"/>
      <c r="G66" s="227">
        <f>IF(P68=1,R68,Q68)</f>
        <v>0.0</v>
      </c>
      <c r="H66" s="228"/>
      <c r="I66" s="50"/>
      <c r="J66" s="50"/>
      <c r="K66" s="50"/>
      <c r="L66" s="50"/>
      <c r="M66" s="50"/>
      <c r="N66" s="50"/>
      <c r="O66" s="50"/>
      <c r="P66" s="53" t="s">
        <v>566</v>
      </c>
      <c r="Q66" s="54">
        <v>1.0</v>
      </c>
    </row>
    <row r="67" spans="8:8" ht="20.1" customHeight="1">
      <c r="A67" s="50"/>
      <c r="B67" s="222" t="s">
        <v>26</v>
      </c>
      <c r="C67" s="223"/>
      <c r="D67" s="224" t="str">
        <f>INDEX(Sheet4!L19:L21,Data!Q60)</f>
        <v>Dependent Parents</v>
      </c>
      <c r="E67" s="225">
        <v>0.0</v>
      </c>
      <c r="F67" s="226"/>
      <c r="G67" s="227">
        <f>IF(P69=1,Q69,IF(P69=2,R69,S69))</f>
        <v>0.0</v>
      </c>
      <c r="H67" s="228"/>
      <c r="I67" s="124"/>
      <c r="J67" s="124"/>
      <c r="K67" s="50"/>
      <c r="L67" s="50"/>
      <c r="M67" s="50"/>
      <c r="N67" s="50"/>
      <c r="O67" s="50"/>
      <c r="P67" s="229" t="s">
        <v>671</v>
      </c>
      <c r="Q67" s="54">
        <v>2.0</v>
      </c>
      <c r="R67" s="229"/>
    </row>
    <row r="68" spans="8:8" ht="19.5" customHeight="1">
      <c r="A68" s="50"/>
      <c r="B68" s="222" t="s">
        <v>27</v>
      </c>
      <c r="C68" s="223"/>
      <c r="D68" s="224" t="str">
        <f>INDEX(Sheet4!L23:L26,Data!Q61)</f>
        <v>Spouse</v>
      </c>
      <c r="E68" s="225">
        <v>0.0</v>
      </c>
      <c r="F68" s="226"/>
      <c r="G68" s="227">
        <f>IF(P70=1,Q70,R70)</f>
        <v>0.0</v>
      </c>
      <c r="H68" s="228"/>
      <c r="I68" s="50"/>
      <c r="J68" s="50"/>
      <c r="K68" s="50"/>
      <c r="L68" s="50"/>
      <c r="M68" s="50"/>
      <c r="N68" s="50"/>
      <c r="O68" s="50"/>
      <c r="P68" s="230">
        <f>IF(D66="not S.Citizen",1,2)</f>
        <v>2.0</v>
      </c>
      <c r="Q68" s="230">
        <f>IF(P68=2,IF(E66&gt;60000,60000,E66))</f>
        <v>0.0</v>
      </c>
      <c r="R68" s="230" t="b">
        <f>IF(P68=1,IF(E66&gt;40000,40000,E66))</f>
        <v>0</v>
      </c>
      <c r="S68" s="231"/>
      <c r="T68" s="231"/>
    </row>
    <row r="69" spans="8:8" ht="29.25" customHeight="1">
      <c r="A69" s="50"/>
      <c r="B69" s="222" t="str">
        <f>CONCATENATE("80G Donation of ",D69)</f>
        <v>80G Donation of Charitable Trust</v>
      </c>
      <c r="C69" s="223"/>
      <c r="D69" s="224" t="str">
        <f>INDEX(Sheet4!L28:L29,Data!Q62)</f>
        <v>Charitable Trust</v>
      </c>
      <c r="E69" s="225">
        <v>0.0</v>
      </c>
      <c r="F69" s="226"/>
      <c r="G69" s="227">
        <f>IF(E69&gt;100000,100000,E69)</f>
        <v>0.0</v>
      </c>
      <c r="H69" s="228"/>
      <c r="I69" s="50"/>
      <c r="J69" s="50"/>
      <c r="K69" s="50"/>
      <c r="L69" s="50"/>
      <c r="M69" s="50"/>
      <c r="N69" s="50"/>
      <c r="O69" s="50"/>
      <c r="P69" s="230">
        <f>IF(D67="Self",1,IF(D67="S.Citizen Parents",3,2))</f>
        <v>2.0</v>
      </c>
      <c r="Q69" s="230" t="b">
        <f>IF(P69=1,IF(E67&gt;5000,5000,E67))</f>
        <v>0</v>
      </c>
      <c r="R69" s="230">
        <f>IF(P69=2,IF(E67&gt;15000,15000,E67))</f>
        <v>0.0</v>
      </c>
      <c r="S69" s="232" t="b">
        <f>IF(P69=3,IF(E67&gt;20000,20000,E67))</f>
        <v>0</v>
      </c>
      <c r="T69" s="233"/>
    </row>
    <row r="70" spans="8:8" ht="29.25" customHeight="1">
      <c r="A70" s="50"/>
      <c r="B70" s="222" t="s">
        <v>431</v>
      </c>
      <c r="C70" s="223"/>
      <c r="D70" s="234"/>
      <c r="E70" s="225">
        <v>0.0</v>
      </c>
      <c r="F70" s="226"/>
      <c r="G70" s="235">
        <f>IF(P72=1,Q72,R72)</f>
        <v>0.0</v>
      </c>
      <c r="H70" s="236"/>
      <c r="I70" s="50"/>
      <c r="J70" s="50"/>
      <c r="K70" s="50"/>
      <c r="L70" s="50"/>
      <c r="M70" s="50"/>
      <c r="N70" s="50"/>
      <c r="O70" s="50"/>
      <c r="P70" s="230">
        <f>IF(D68="Self",1,IF(D68="Spouse",1,IF(D68="Children",1,2)))</f>
        <v>1.0</v>
      </c>
      <c r="Q70" s="230">
        <f>IF(P70=1,IF(E68&gt;25000,25000,E68))</f>
        <v>0.0</v>
      </c>
      <c r="R70" s="230" t="b">
        <f>IF(P70=2,IF(D68&gt;20000,20000,D68))</f>
        <v>0</v>
      </c>
      <c r="S70" s="231"/>
      <c r="T70" s="233"/>
    </row>
    <row r="71" spans="8:8" ht="30.0" customHeight="1">
      <c r="A71" s="50"/>
      <c r="B71" s="222" t="s">
        <v>426</v>
      </c>
      <c r="C71" s="223"/>
      <c r="D71" s="224" t="str">
        <f>INDEX(Sheet4!L12:L14,Data!Q63)</f>
        <v>NotApplicable</v>
      </c>
      <c r="E71" s="237">
        <f>IF(D71="&gt;80%",125000,IF(D71="&gt;40%",75000,0))</f>
        <v>0.0</v>
      </c>
      <c r="F71" s="238"/>
      <c r="G71" s="235">
        <f>IF(P73=1,Q73,R73)</f>
        <v>0.0</v>
      </c>
      <c r="H71" s="236"/>
      <c r="I71" s="50"/>
      <c r="J71" s="50"/>
      <c r="K71" s="50"/>
      <c r="L71" s="50" t="s">
        <v>562</v>
      </c>
      <c r="M71" s="50"/>
      <c r="N71" s="50"/>
      <c r="O71" s="50"/>
      <c r="P71" s="230"/>
      <c r="Q71" s="230"/>
      <c r="R71" s="230"/>
      <c r="S71" s="231"/>
      <c r="T71" s="233"/>
    </row>
    <row r="72" spans="8:8" ht="31.5" customHeight="1">
      <c r="A72" s="50"/>
      <c r="B72" s="222" t="str">
        <f>CONCATENATE("80U Deduction for disabled person ",D32)</f>
        <v>80U Deduction for disabled person &gt;40%</v>
      </c>
      <c r="C72" s="223"/>
      <c r="D72" s="239"/>
      <c r="E72" s="237">
        <f>IF(AND(C32="YES",D32="&gt;40%"),75000,IF(AND(C32="YES",D32="&gt;80%"),125000,0))</f>
        <v>0.0</v>
      </c>
      <c r="F72" s="238"/>
      <c r="G72" s="240"/>
      <c r="H72" s="241"/>
      <c r="I72" s="50"/>
      <c r="J72" s="50"/>
      <c r="K72" s="50"/>
      <c r="L72" s="50"/>
      <c r="M72" s="50"/>
      <c r="N72" s="50"/>
      <c r="O72" s="50"/>
      <c r="P72" s="230">
        <f>IF(D70="&gt;80% disability",1,2)</f>
        <v>2.0</v>
      </c>
      <c r="Q72" s="230" t="b">
        <f>IF(P72=1,IF(E70&gt;125000,125000,E70))</f>
        <v>0</v>
      </c>
      <c r="R72" s="230">
        <f>IF(P72=2,IF(E70&gt;75000,75000,E70))</f>
        <v>0.0</v>
      </c>
      <c r="S72" s="231"/>
      <c r="T72" s="233"/>
    </row>
    <row r="73" spans="8:8" ht="27.75" customHeight="1">
      <c r="A73" s="50"/>
      <c r="B73" s="222" t="s">
        <v>432</v>
      </c>
      <c r="C73" s="223"/>
      <c r="D73" s="239"/>
      <c r="E73" s="225">
        <v>0.0</v>
      </c>
      <c r="F73" s="226"/>
      <c r="G73" s="242"/>
      <c r="H73" s="50"/>
      <c r="I73" s="50"/>
      <c r="J73" s="50"/>
      <c r="K73" s="50"/>
      <c r="L73" s="50"/>
      <c r="M73" s="50"/>
      <c r="N73" s="50"/>
      <c r="O73" s="50"/>
      <c r="P73" s="230"/>
      <c r="Q73" s="243"/>
      <c r="R73" s="243"/>
      <c r="S73" s="244"/>
      <c r="T73" s="56"/>
    </row>
    <row r="74" spans="8:8" ht="33.75" customHeight="1">
      <c r="A74" s="50"/>
      <c r="B74" s="245" t="s">
        <v>434</v>
      </c>
      <c r="C74" s="246"/>
      <c r="D74" s="247"/>
      <c r="E74" s="248">
        <v>0.0</v>
      </c>
      <c r="F74" s="249"/>
      <c r="G74" s="56"/>
      <c r="H74" s="50"/>
      <c r="I74" s="50"/>
      <c r="J74" s="50"/>
      <c r="K74" s="50"/>
      <c r="L74" s="50"/>
      <c r="M74" s="50"/>
      <c r="N74" s="56"/>
      <c r="O74" s="50"/>
      <c r="P74" s="50"/>
      <c r="Q74" s="50"/>
      <c r="R74" s="50"/>
      <c r="S74" s="50"/>
      <c r="T74" s="50"/>
    </row>
    <row r="75" spans="8:8" ht="33.75" customHeight="1">
      <c r="A75" s="50"/>
      <c r="B75" s="222" t="s">
        <v>563</v>
      </c>
      <c r="C75" s="223"/>
      <c r="D75" s="225">
        <v>0.0</v>
      </c>
      <c r="E75" s="250"/>
      <c r="F75" s="226"/>
      <c r="G75" s="50"/>
      <c r="H75" s="50"/>
      <c r="I75" s="50"/>
      <c r="J75" s="50"/>
      <c r="K75" s="50"/>
      <c r="L75" s="50"/>
      <c r="M75" s="50"/>
      <c r="N75" s="56"/>
      <c r="O75" s="50"/>
      <c r="P75" s="50"/>
      <c r="Q75" s="50"/>
      <c r="R75" s="50"/>
      <c r="S75" s="50"/>
      <c r="T75" s="50"/>
    </row>
    <row r="76" spans="8:8" ht="31.5" customHeight="1">
      <c r="A76" s="50"/>
      <c r="B76" s="147"/>
      <c r="C76" s="50"/>
      <c r="D76" s="50"/>
      <c r="E76" s="50"/>
      <c r="F76" s="50"/>
      <c r="G76" s="50"/>
      <c r="H76" s="50"/>
      <c r="I76" s="50"/>
      <c r="J76" s="50"/>
      <c r="K76" s="50"/>
      <c r="L76" s="251"/>
      <c r="M76" s="50"/>
      <c r="N76" s="56"/>
      <c r="O76" s="50"/>
      <c r="P76" s="50"/>
      <c r="Q76" s="50"/>
      <c r="R76" s="50"/>
      <c r="S76" s="50"/>
      <c r="T76" s="50"/>
    </row>
    <row r="77" spans="8:8" ht="27.75" customHeight="1">
      <c r="A77" s="50"/>
      <c r="B77" s="147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6"/>
      <c r="O77" s="50"/>
      <c r="P77" s="50"/>
      <c r="Q77" s="50"/>
      <c r="R77" s="50"/>
      <c r="S77" s="50"/>
      <c r="T77" s="50"/>
    </row>
    <row r="78" spans="8:8" ht="20.1" customHeight="1">
      <c r="A78" s="50"/>
      <c r="B78" s="50"/>
      <c r="C78" s="50"/>
      <c r="D78" s="50"/>
      <c r="E78" s="50"/>
      <c r="F78" s="50"/>
      <c r="G78" s="56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</row>
    <row r="79" spans="8:8" ht="15.0">
      <c r="A79" s="50"/>
      <c r="B79" s="50"/>
      <c r="C79" s="50"/>
      <c r="D79" s="50"/>
      <c r="E79" s="50"/>
      <c r="F79" s="50"/>
      <c r="G79" s="56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</row>
    <row r="80" spans="8:8" ht="15.0">
      <c r="A80" s="50"/>
      <c r="B80" s="50"/>
      <c r="C80" s="50"/>
      <c r="D80" s="50"/>
      <c r="E80" s="50"/>
      <c r="F80" s="50"/>
      <c r="G80" s="56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</row>
    <row r="81" spans="8:8" ht="15.0">
      <c r="A81" s="50"/>
      <c r="B81" s="50"/>
      <c r="C81" s="50"/>
      <c r="D81" s="50"/>
      <c r="E81" s="50"/>
      <c r="F81" s="50"/>
      <c r="G81" s="56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</row>
    <row r="82" spans="8:8" ht="15.0">
      <c r="A82" s="50"/>
      <c r="B82" s="50"/>
      <c r="C82" s="50"/>
      <c r="D82" s="50"/>
      <c r="E82" s="50"/>
      <c r="F82" s="50"/>
      <c r="G82" s="56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</row>
    <row r="83" spans="8:8" ht="15.0">
      <c r="A83" s="50"/>
      <c r="B83" s="147"/>
      <c r="C83" s="50"/>
      <c r="D83" s="50"/>
      <c r="E83" s="50"/>
      <c r="F83" s="252"/>
      <c r="G83" s="56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</row>
    <row r="84" spans="8:8" ht="15.0">
      <c r="A84" s="50"/>
      <c r="B84" s="147"/>
      <c r="C84" s="50"/>
      <c r="D84" s="50"/>
      <c r="E84" s="50"/>
      <c r="F84" s="252"/>
      <c r="G84" s="56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</row>
    <row r="85" spans="8:8" ht="19.5">
      <c r="A85" s="50"/>
      <c r="B85" s="147"/>
      <c r="C85" s="50"/>
      <c r="D85" s="50"/>
      <c r="E85" s="50"/>
      <c r="F85" s="252"/>
      <c r="G85" s="56"/>
      <c r="H85" s="50"/>
      <c r="I85" s="50"/>
      <c r="J85" s="253"/>
      <c r="K85" s="50"/>
      <c r="L85" s="50"/>
      <c r="M85" s="50"/>
      <c r="N85" s="50"/>
      <c r="O85" s="50"/>
      <c r="P85" s="50"/>
      <c r="Q85" s="50"/>
      <c r="R85" s="50"/>
      <c r="S85" s="50"/>
      <c r="T85" s="50"/>
    </row>
    <row r="86" spans="8:8" ht="15.0">
      <c r="A86" s="254"/>
      <c r="F86" s="255"/>
      <c r="G86"/>
    </row>
    <row r="87" spans="8:8" ht="15.0">
      <c r="A87" s="254"/>
      <c r="F87" s="255"/>
      <c r="G87"/>
    </row>
    <row r="88" spans="8:8" ht="15.0">
      <c r="A88" s="254"/>
      <c r="F88" s="255"/>
      <c r="G88"/>
    </row>
    <row r="89" spans="8:8" ht="15.0">
      <c r="A89" s="254"/>
      <c r="G89"/>
    </row>
    <row r="90" spans="8:8">
      <c r="A90" s="254"/>
    </row>
    <row r="91" spans="8:8">
      <c r="A91" s="254"/>
    </row>
    <row r="92" spans="8:8">
      <c r="A92" s="254"/>
    </row>
    <row r="93" spans="8:8">
      <c r="A93" s="254"/>
    </row>
    <row r="94" spans="8:8">
      <c r="A94" s="254"/>
      <c r="N94" s="49"/>
    </row>
    <row r="95" spans="8:8">
      <c r="A95" s="254"/>
    </row>
    <row r="96" spans="8:8">
      <c r="A96" s="254"/>
    </row>
    <row r="97" spans="8:8">
      <c r="A97" s="254"/>
    </row>
    <row r="98" spans="8:8">
      <c r="A98" s="254"/>
    </row>
    <row r="99" spans="8:8">
      <c r="A99" s="254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spans="8:8" ht="15.0">
      <c r="A100" s="254"/>
      <c r="C100"/>
      <c r="D100"/>
      <c r="J100" s="256" t="s">
        <v>256</v>
      </c>
      <c r="K100" s="256" t="s">
        <v>255</v>
      </c>
      <c r="L100" s="256" t="s">
        <v>69</v>
      </c>
      <c r="M100" s="256" t="s">
        <v>346</v>
      </c>
      <c r="N100" s="256" t="s">
        <v>347</v>
      </c>
      <c r="O100" s="256" t="s">
        <v>249</v>
      </c>
      <c r="P100" s="256" t="s">
        <v>51</v>
      </c>
      <c r="Q100" s="256" t="s">
        <v>52</v>
      </c>
      <c r="R100" s="256" t="s">
        <v>7</v>
      </c>
      <c r="S100" s="256" t="s">
        <v>9</v>
      </c>
      <c r="T100" s="256" t="s">
        <v>34</v>
      </c>
      <c r="U100" s="256" t="s">
        <v>23</v>
      </c>
      <c r="V100" s="256" t="s">
        <v>71</v>
      </c>
      <c r="W100" s="256" t="s">
        <v>60</v>
      </c>
      <c r="X100" s="256" t="s">
        <v>37</v>
      </c>
      <c r="Y100" s="256" t="s">
        <v>38</v>
      </c>
      <c r="Z100" s="256" t="s">
        <v>53</v>
      </c>
    </row>
    <row r="101" spans="8:8" ht="15.0">
      <c r="A101" s="254"/>
      <c r="C101"/>
      <c r="D101"/>
      <c r="J101" s="53" t="str">
        <f>Sheet4!G3</f>
        <v>JAN21</v>
      </c>
      <c r="K101" s="53">
        <v>31.0</v>
      </c>
      <c r="L101" s="257">
        <f>IF(AND($C$38="YES",$D$38=J101,$D$22=J101),Sheet4!$F$5,IF(OR(AND($C$38="YES",$D$38=J21),$D$22=J101),LOOKUP(E21,Sheet4!$A$3:$A$62,Sheet4!$C$3:$C$61),E21))</f>
        <v>38130.0</v>
      </c>
      <c r="M101" s="53">
        <f>IF($D$22=J101,LOOKUP($E$21,Sheet4!$A$3:$A$62,Sheet4!$C$3:$C$61),$E$21)</f>
        <v>38130.0</v>
      </c>
      <c r="N101" s="53">
        <f>M101</f>
        <v>38130.0</v>
      </c>
      <c r="O101" s="53">
        <f>IF(AND($C$40="YES",$C$42="Incriment Date",$D$22=J101),LOOKUP(MAX(M101,N101),Sheet4!$A$3:$A$62,Sheet4!$C$3:$C$61),IF(AND($C$40="YES",$C$42="Promotion Date",$D$40=J101),LOOKUP(MAX(M101,N101),Sheet4!$A$3:$A$62,Sheet4!$C$3:$C$6189),MAX(M101,N101,L101)))</f>
        <v>38130.0</v>
      </c>
      <c r="P101" s="53">
        <f t="shared" si="3" ref="P101:P114">ROUND(L101*L21%,0)</f>
        <v>11588.0</v>
      </c>
      <c r="Q101" s="53">
        <f t="shared" si="4" ref="Q101:Q114">ROUND(L101*M21%,0)</f>
        <v>4576.0</v>
      </c>
      <c r="R101" s="53">
        <f>E24</f>
        <v>0.0</v>
      </c>
      <c r="S101" s="53">
        <f>E26</f>
        <v>1000.0</v>
      </c>
      <c r="T101" s="53">
        <f>IF(E30="NA",0,E30)</f>
        <v>0.0</v>
      </c>
      <c r="U101" s="258">
        <f t="shared" si="5" ref="U101:U114">IF($C$24="CPS",(L101+L101*L21%)*10%,0)</f>
        <v>4971.84696</v>
      </c>
      <c r="V101" s="53">
        <f>E29</f>
        <v>0.0</v>
      </c>
      <c r="W101" s="53">
        <f>E27</f>
        <v>90.0</v>
      </c>
      <c r="X101" s="53">
        <f>E28</f>
        <v>30.0</v>
      </c>
      <c r="Y101" s="53">
        <f>E31</f>
        <v>0.0</v>
      </c>
      <c r="Z101" s="53">
        <f>E32</f>
        <v>0.0</v>
      </c>
    </row>
    <row r="102" spans="8:8" ht="15.0">
      <c r="A102" s="254"/>
      <c r="C102"/>
      <c r="D102"/>
      <c r="J102" s="53" t="str">
        <f>Sheet4!G4</f>
        <v>FEB21</v>
      </c>
      <c r="K102" s="53">
        <v>28.0</v>
      </c>
      <c r="L102" s="257">
        <f>IF(AND($C$38="YES",$D$38=J101,$D$22=J102),Sheet4!$F$5,IF(OR(AND($C$38="YES",$D$38=J21),$D$22=J102),LOOKUP(L101,Sheet4!$A$3:$A$62,Sheet4!$C$3:$C$61),L101))</f>
        <v>38130.0</v>
      </c>
      <c r="M102" s="53">
        <f>IF($D$22=J102,LOOKUP(M101,Sheet4!$A$3:$A$62,Sheet4!$C$3:$C$61),MAX(M101,N101,O101))</f>
        <v>38130.0</v>
      </c>
      <c r="N102" s="53">
        <f>IF(AND($C$38="YES",J101=$D$38),LOOKUP(MAX(N101,M102,O101),Sheet4!$A$3:$A$62,Sheet4!$C$3:$C$61),MAX(N101,M102))</f>
        <v>38130.0</v>
      </c>
      <c r="O102" s="53">
        <f>IF(AND($C$40="YES",$C$42="Incriment Date",$D$22=J101),LOOKUP(MAX(O101,N102),Sheet4!$A$3:$A$62,Sheet4!$C$3:$C$61),IF(AND($C$40="YES",$C$42="Promotion Date",$D$40=J101),LOOKUP(MAX(N102,O101),Sheet4!$A$3:$A$62,Sheet4!$C$3:$C$6189),MAX(O101,M102,N102,L102)))</f>
        <v>38130.0</v>
      </c>
      <c r="P102" s="53">
        <f t="shared" si="3"/>
        <v>11588.0</v>
      </c>
      <c r="Q102" s="53">
        <f t="shared" si="4"/>
        <v>4576.0</v>
      </c>
      <c r="R102" s="53">
        <f t="shared" si="6" ref="R102:R114">IF($G$24=J102,$H$24,R101)</f>
        <v>0.0</v>
      </c>
      <c r="S102" s="53">
        <f t="shared" si="7" ref="S102:S114">IF($G$26=J102,$H$26,S101)</f>
        <v>1000.0</v>
      </c>
      <c r="T102" s="53">
        <f>IF($G$30=J102,IF($H$30="NA",0,$H$30),IF(T101="NA",0,T101))</f>
        <v>0.0</v>
      </c>
      <c r="U102" s="258">
        <f t="shared" si="5"/>
        <v>4971.84696</v>
      </c>
      <c r="V102" s="53">
        <f t="shared" si="8" ref="V102:V114">IF($G$29=J102,$H$29,V101)</f>
        <v>0.0</v>
      </c>
      <c r="W102" s="53">
        <f t="shared" si="9" ref="W102:W114">IF($G$27=J102,$H$27,W101)</f>
        <v>90.0</v>
      </c>
      <c r="X102" s="53">
        <f t="shared" si="10" ref="X102:X114">IF($G$28=J102,$H$28,X101)</f>
        <v>30.0</v>
      </c>
      <c r="Y102" s="53">
        <f t="shared" si="11" ref="Y102:Y114">IF($G$31=J102,$H$31,Y101)</f>
        <v>0.0</v>
      </c>
      <c r="Z102" s="53">
        <f>Z101</f>
        <v>0.0</v>
      </c>
    </row>
    <row r="103" spans="8:8" ht="15.0">
      <c r="A103" s="254"/>
      <c r="C103"/>
      <c r="D103"/>
      <c r="J103" s="53" t="str">
        <f>Sheet4!G5</f>
        <v>MAR21</v>
      </c>
      <c r="K103" s="259">
        <v>31.0</v>
      </c>
      <c r="L103" s="257">
        <f>IF(AND($C$38="YES",$D$38=J102,$D$22=J103),Sheet4!$F$5,IF(OR(AND($C$38="YES",$D$38=J22),$D$22=J103),LOOKUP(L102,Sheet4!$A$3:$A$62,Sheet4!$C$3:$C$61),L102))</f>
        <v>38130.0</v>
      </c>
      <c r="M103" s="259">
        <f>IF($D$22=J103,LOOKUP(M102,Sheet4!$A$3:$A$62,Sheet4!$C$3:$C$61),MAX(M102,N102,O102))</f>
        <v>38130.0</v>
      </c>
      <c r="N103" s="259">
        <f>IF(AND($C$38="YES",J102=$D$38),LOOKUP(MAX(N102,M103,O102),Sheet4!$A$3:$A$62,Sheet4!$C$3:$C$61),MAX(N102,M103))</f>
        <v>38130.0</v>
      </c>
      <c r="O103" s="53">
        <f>IF(AND($C$40="YES",$C$42="Incriment Date",$D$22=J102),LOOKUP(MAX(O102,N103),Sheet4!$A$3:$A$62,Sheet4!$C$3:$C$61),IF(AND($C$40="YES",$C$42="Promotion Date",$D$40=J102),LOOKUP(MAX(N103,O102),Sheet4!$A$3:$A$62,Sheet4!$C$3:$C$6189),MAX(O102,M103,N103,L103)))</f>
        <v>38130.0</v>
      </c>
      <c r="P103" s="259">
        <f t="shared" si="3"/>
        <v>11588.0</v>
      </c>
      <c r="Q103" s="259">
        <f t="shared" si="4"/>
        <v>4576.0</v>
      </c>
      <c r="R103" s="259">
        <f t="shared" si="6"/>
        <v>0.0</v>
      </c>
      <c r="S103" s="259">
        <f t="shared" si="7"/>
        <v>1000.0</v>
      </c>
      <c r="T103" s="53">
        <f t="shared" si="12" ref="T103:T114">IF($G$30=J103,IF($H$30="NA",0,$H$30),IF(T102="NA",0,T102))</f>
        <v>0.0</v>
      </c>
      <c r="U103" s="260">
        <f t="shared" si="5"/>
        <v>4971.84696</v>
      </c>
      <c r="V103" s="259">
        <f t="shared" si="8"/>
        <v>0.0</v>
      </c>
      <c r="W103" s="259">
        <f t="shared" si="9"/>
        <v>90.0</v>
      </c>
      <c r="X103" s="259">
        <f t="shared" si="10"/>
        <v>30.0</v>
      </c>
      <c r="Y103" s="259">
        <f t="shared" si="11"/>
        <v>0.0</v>
      </c>
      <c r="Z103" s="53">
        <f t="shared" si="13" ref="Z103:Z114">Z102</f>
        <v>0.0</v>
      </c>
    </row>
    <row r="104" spans="8:8" ht="15.0">
      <c r="A104" s="254"/>
      <c r="C104"/>
      <c r="D104"/>
      <c r="J104" s="53" t="str">
        <f>Sheet4!G6</f>
        <v>APR21</v>
      </c>
      <c r="K104" s="53">
        <v>30.0</v>
      </c>
      <c r="L104" s="257">
        <f>IF(AND($C$38="YES",$D$38=J103,$D$22=J104),Sheet4!$F$5,IF(OR(AND($C$38="YES",$D$38=J23),$D$22=J104),LOOKUP(L103,Sheet4!$A$3:$A$62,Sheet4!$C$3:$C$61),L103))</f>
        <v>38130.0</v>
      </c>
      <c r="M104" s="53">
        <f>IF($D$22=J104,LOOKUP(M103,Sheet4!$A$3:$A$62,Sheet4!$C$3:$C$61),MAX(M103,N103,O103))</f>
        <v>38130.0</v>
      </c>
      <c r="N104" s="53">
        <f>IF(AND($C$38="YES",J103=$D$38),LOOKUP(MAX(N103,M104,O103),Sheet4!$A$3:$A$62,Sheet4!$C$3:$C$61),MAX(N103,M104))</f>
        <v>38130.0</v>
      </c>
      <c r="O104" s="53">
        <f>IF(AND($C$40="YES",$C$42="Incriment Date",$D$22=J103),LOOKUP(MAX(O103,N104),Sheet4!$A$3:$A$62,Sheet4!$C$3:$C$61),IF(AND($C$40="YES",$C$42="Promotion Date",$D$40=J103),LOOKUP(MAX(N104,O103),Sheet4!$A$3:$A$62,Sheet4!$C$3:$C$6189),MAX(O103,M104,N104,L104)))</f>
        <v>38130.0</v>
      </c>
      <c r="P104" s="53">
        <f t="shared" si="3"/>
        <v>11588.0</v>
      </c>
      <c r="Q104" s="53">
        <f t="shared" si="4"/>
        <v>4576.0</v>
      </c>
      <c r="R104" s="53">
        <f t="shared" si="6"/>
        <v>0.0</v>
      </c>
      <c r="S104" s="53">
        <f t="shared" si="7"/>
        <v>1000.0</v>
      </c>
      <c r="T104" s="53">
        <f t="shared" si="12"/>
        <v>0.0</v>
      </c>
      <c r="U104" s="258">
        <f t="shared" si="5"/>
        <v>4971.84696</v>
      </c>
      <c r="V104" s="53">
        <f t="shared" si="8"/>
        <v>0.0</v>
      </c>
      <c r="W104" s="53">
        <f t="shared" si="9"/>
        <v>90.0</v>
      </c>
      <c r="X104" s="53">
        <f t="shared" si="10"/>
        <v>30.0</v>
      </c>
      <c r="Y104" s="53">
        <f t="shared" si="11"/>
        <v>0.0</v>
      </c>
      <c r="Z104" s="53">
        <f t="shared" si="13"/>
        <v>0.0</v>
      </c>
    </row>
    <row r="105" spans="8:8" ht="15.0">
      <c r="A105" s="254"/>
      <c r="C105"/>
      <c r="D105"/>
      <c r="J105" s="53" t="str">
        <f>Sheet4!G7</f>
        <v>MAY21</v>
      </c>
      <c r="K105" s="53">
        <v>31.0</v>
      </c>
      <c r="L105" s="257">
        <f>IF(AND($C$38="YES",$D$38=J104,$D$22=J105),Sheet4!$F$5,IF(OR(AND($C$38="YES",$D$38=J24),$D$22=J105),LOOKUP(L104,Sheet4!$A$3:$A$62,Sheet4!$C$3:$C$61),L104))</f>
        <v>38130.0</v>
      </c>
      <c r="M105" s="53">
        <f>IF($D$22=J105,LOOKUP(M104,Sheet4!$A$3:$A$62,Sheet4!$C$3:$C$61),MAX(M104,N104,O104))</f>
        <v>38130.0</v>
      </c>
      <c r="N105" s="53">
        <f>IF(AND($C$38="YES",J104=$D$38),LOOKUP(MAX(N104,M105,O104),Sheet4!$A$3:$A$62,Sheet4!$C$3:$C$61),MAX(N104,M105))</f>
        <v>38130.0</v>
      </c>
      <c r="O105" s="53">
        <f>IF(AND($C$40="YES",$C$42="Incriment Date",$D$22=J104),LOOKUP(MAX(O104,N105),Sheet4!$A$3:$A$62,Sheet4!$C$3:$C$61),IF(AND($C$40="YES",$C$42="Promotion Date",$D$40=J104),LOOKUP(MAX(N105,O104),Sheet4!$A$3:$A$62,Sheet4!$C$3:$C$6189),MAX(O104,M105,N105,L105)))</f>
        <v>38130.0</v>
      </c>
      <c r="P105" s="53">
        <f t="shared" si="3"/>
        <v>11588.0</v>
      </c>
      <c r="Q105" s="53">
        <f t="shared" si="4"/>
        <v>4576.0</v>
      </c>
      <c r="R105" s="53">
        <f t="shared" si="6"/>
        <v>0.0</v>
      </c>
      <c r="S105" s="53">
        <f t="shared" si="7"/>
        <v>1000.0</v>
      </c>
      <c r="T105" s="53">
        <f t="shared" si="12"/>
        <v>0.0</v>
      </c>
      <c r="U105" s="258">
        <f t="shared" si="5"/>
        <v>4971.84696</v>
      </c>
      <c r="V105" s="53">
        <f t="shared" si="8"/>
        <v>0.0</v>
      </c>
      <c r="W105" s="53">
        <f t="shared" si="9"/>
        <v>225.0</v>
      </c>
      <c r="X105" s="53">
        <f t="shared" si="10"/>
        <v>30.0</v>
      </c>
      <c r="Y105" s="53">
        <f t="shared" si="11"/>
        <v>0.0</v>
      </c>
      <c r="Z105" s="53">
        <f t="shared" si="13"/>
        <v>0.0</v>
      </c>
    </row>
    <row r="106" spans="8:8" ht="15.0">
      <c r="A106" s="254"/>
      <c r="C106"/>
      <c r="D106"/>
      <c r="J106" s="53" t="str">
        <f>Sheet4!G8</f>
        <v>JUN21</v>
      </c>
      <c r="K106" s="53">
        <v>30.0</v>
      </c>
      <c r="L106" s="257">
        <f>IF(AND($C$38="YES",$D$38=J105,$D$22=J106),Sheet4!$F$5,IF(OR(AND($C$38="YES",$D$38=J25),$D$22=J106),LOOKUP(L105,Sheet4!$A$3:$A$62,Sheet4!$C$3:$C$61),L105))</f>
        <v>38130.0</v>
      </c>
      <c r="M106" s="53">
        <f>IF($D$22=J106,LOOKUP(M105,Sheet4!$A$3:$A$62,Sheet4!$C$3:$C$61),MAX(M105,N105,O105))</f>
        <v>38130.0</v>
      </c>
      <c r="N106" s="53">
        <f>IF(AND($C$38="YES",J105=$D$38),LOOKUP(MAX(N105,M106,O105),Sheet4!$A$3:$A$62,Sheet4!$C$3:$C$61),MAX(N105,M106))</f>
        <v>38130.0</v>
      </c>
      <c r="O106" s="53">
        <f>IF(AND($C$40="YES",$C$42="Incriment Date",$D$22=J105),LOOKUP(MAX(O105,N106),Sheet4!$A$3:$A$62,Sheet4!$C$3:$C$61),IF(AND($C$40="YES",$C$42="Promotion Date",$D$40=J105),LOOKUP(MAX(N106,O105),Sheet4!$A$3:$A$62,Sheet4!$C$3:$C$6189),MAX(O105,M106,N106,L106)))</f>
        <v>38130.0</v>
      </c>
      <c r="P106" s="53">
        <f t="shared" si="3"/>
        <v>11588.0</v>
      </c>
      <c r="Q106" s="53">
        <f t="shared" si="4"/>
        <v>4576.0</v>
      </c>
      <c r="R106" s="53">
        <f t="shared" si="6"/>
        <v>0.0</v>
      </c>
      <c r="S106" s="53">
        <f t="shared" si="7"/>
        <v>1000.0</v>
      </c>
      <c r="T106" s="53">
        <f t="shared" si="12"/>
        <v>0.0</v>
      </c>
      <c r="U106" s="258">
        <f t="shared" si="5"/>
        <v>4971.84696</v>
      </c>
      <c r="V106" s="53">
        <f t="shared" si="8"/>
        <v>0.0</v>
      </c>
      <c r="W106" s="53">
        <f t="shared" si="9"/>
        <v>225.0</v>
      </c>
      <c r="X106" s="53">
        <f t="shared" si="10"/>
        <v>30.0</v>
      </c>
      <c r="Y106" s="53">
        <f t="shared" si="11"/>
        <v>0.0</v>
      </c>
      <c r="Z106" s="53">
        <f t="shared" si="13"/>
        <v>0.0</v>
      </c>
    </row>
    <row r="107" spans="8:8" ht="15.0">
      <c r="A107" s="254"/>
      <c r="C107"/>
      <c r="D107"/>
      <c r="J107" s="53" t="str">
        <f>Sheet4!G9</f>
        <v>JUL21</v>
      </c>
      <c r="K107" s="53">
        <v>31.0</v>
      </c>
      <c r="L107" s="257">
        <f>IF(AND($C$38="YES",$D$38=J106,$D$22=J107),Sheet4!$F$5,IF(OR(AND($C$38="YES",$D$38=J26),$D$22=J107),LOOKUP(L106,Sheet4!$A$3:$A$62,Sheet4!$C$3:$C$61),L106))</f>
        <v>38130.0</v>
      </c>
      <c r="M107" s="53">
        <f>IF($D$22=J107,LOOKUP(M106,Sheet4!$A$3:$A$62,Sheet4!$C$3:$C$61),MAX(M106,N106,O106))</f>
        <v>38130.0</v>
      </c>
      <c r="N107" s="53">
        <f>IF(AND($C$38="YES",J106=$D$38),LOOKUP(MAX(N106,M107,O106),Sheet4!$A$3:$A$62,Sheet4!$C$3:$C$61),MAX(N106,M107))</f>
        <v>38130.0</v>
      </c>
      <c r="O107" s="53">
        <f>IF(AND($C$40="YES",$C$42="Incriment Date",$D$22=J106),LOOKUP(MAX(O106,N107),Sheet4!$A$3:$A$62,Sheet4!$C$3:$C$61),IF(AND($C$40="YES",$C$42="Promotion Date",$D$40=J106),LOOKUP(MAX(N107,O106),Sheet4!$A$3:$A$62,Sheet4!$C$3:$C$6189),MAX(O106,M107,N107,L107)))</f>
        <v>38130.0</v>
      </c>
      <c r="P107" s="53">
        <f t="shared" si="3"/>
        <v>12787.0</v>
      </c>
      <c r="Q107" s="53">
        <f t="shared" si="4"/>
        <v>4576.0</v>
      </c>
      <c r="R107" s="53">
        <f t="shared" si="6"/>
        <v>0.0</v>
      </c>
      <c r="S107" s="53">
        <f t="shared" si="7"/>
        <v>1000.0</v>
      </c>
      <c r="T107" s="53">
        <f t="shared" si="12"/>
        <v>0.0</v>
      </c>
      <c r="U107" s="258">
        <f t="shared" si="5"/>
        <v>5091.72768</v>
      </c>
      <c r="V107" s="53">
        <f t="shared" si="8"/>
        <v>0.0</v>
      </c>
      <c r="W107" s="53">
        <f t="shared" si="9"/>
        <v>225.0</v>
      </c>
      <c r="X107" s="53">
        <f t="shared" si="10"/>
        <v>30.0</v>
      </c>
      <c r="Y107" s="53">
        <f t="shared" si="11"/>
        <v>0.0</v>
      </c>
      <c r="Z107" s="53">
        <f t="shared" si="13"/>
        <v>0.0</v>
      </c>
    </row>
    <row r="108" spans="8:8" ht="15.0">
      <c r="A108" s="254"/>
      <c r="C108"/>
      <c r="D108"/>
      <c r="J108" s="53" t="str">
        <f>Sheet4!G10</f>
        <v>AUG21</v>
      </c>
      <c r="K108" s="53">
        <v>31.0</v>
      </c>
      <c r="L108" s="257">
        <f>IF(AND($C$38="YES",$D$38=J107,$D$22=J108),Sheet4!$F$5,IF(OR(AND($C$38="YES",$D$38=J27),$D$22=J108),LOOKUP(L107,Sheet4!$A$3:$A$62,Sheet4!$C$3:$C$61),L107))</f>
        <v>38130.0</v>
      </c>
      <c r="M108" s="53">
        <f>IF($D$22=J108,LOOKUP(M107,Sheet4!$A$3:$A$62,Sheet4!$C$3:$C$61),MAX(M107,N107,O107))</f>
        <v>38130.0</v>
      </c>
      <c r="N108" s="53">
        <f>IF(AND($C$38="YES",J107=$D$38),LOOKUP(MAX(N107,M108,O107),Sheet4!$A$3:$A$62,Sheet4!$C$3:$C$61),MAX(N107,M108))</f>
        <v>38130.0</v>
      </c>
      <c r="O108" s="53">
        <f>IF(AND($C$40="YES",$C$42="Incriment Date",$D$22=J107),LOOKUP(MAX(O107,N108),Sheet4!$A$3:$A$62,Sheet4!$C$3:$C$61),IF(AND($C$40="YES",$C$42="Promotion Date",$D$40=J107),LOOKUP(MAX(N108,O107),Sheet4!$A$3:$A$62,Sheet4!$C$3:$C$6189),MAX(O107,M108,N108,L108)))</f>
        <v>38130.0</v>
      </c>
      <c r="P108" s="53">
        <f t="shared" si="3"/>
        <v>12787.0</v>
      </c>
      <c r="Q108" s="53">
        <f t="shared" si="4"/>
        <v>4576.0</v>
      </c>
      <c r="R108" s="53">
        <f t="shared" si="6"/>
        <v>0.0</v>
      </c>
      <c r="S108" s="53">
        <f t="shared" si="7"/>
        <v>1000.0</v>
      </c>
      <c r="T108" s="53">
        <f t="shared" si="12"/>
        <v>0.0</v>
      </c>
      <c r="U108" s="258">
        <f t="shared" si="5"/>
        <v>5091.72768</v>
      </c>
      <c r="V108" s="53">
        <f t="shared" si="8"/>
        <v>0.0</v>
      </c>
      <c r="W108" s="53">
        <f t="shared" si="9"/>
        <v>225.0</v>
      </c>
      <c r="X108" s="53">
        <f t="shared" si="10"/>
        <v>30.0</v>
      </c>
      <c r="Y108" s="53">
        <f t="shared" si="11"/>
        <v>0.0</v>
      </c>
      <c r="Z108" s="53">
        <f t="shared" si="13"/>
        <v>0.0</v>
      </c>
    </row>
    <row r="109" spans="8:8" ht="15.0">
      <c r="A109" s="254"/>
      <c r="C109"/>
      <c r="D109"/>
      <c r="J109" s="53" t="str">
        <f>Sheet4!G11</f>
        <v>SEP21</v>
      </c>
      <c r="K109" s="53">
        <v>30.0</v>
      </c>
      <c r="L109" s="257">
        <f>IF(AND($C$38="YES",$D$38=J108,$D$22=J109),Sheet4!$F$5,IF(OR(AND($C$38="YES",$D$38=J28),$D$22=J109),LOOKUP(L108,Sheet4!$A$3:$A$62,Sheet4!$C$3:$C$61),L108))</f>
        <v>38130.0</v>
      </c>
      <c r="M109" s="53">
        <f>IF($D$22=J109,LOOKUP(M108,Sheet4!$A$3:$A$62,Sheet4!$C$3:$C$61),MAX(M108,N108,O108))</f>
        <v>38130.0</v>
      </c>
      <c r="N109" s="53">
        <f>IF(AND($C$38="YES",J108=$D$38),LOOKUP(MAX(N108,M109,O108),Sheet4!$A$3:$A$62,Sheet4!$C$3:$C$61),MAX(N108,M109))</f>
        <v>38130.0</v>
      </c>
      <c r="O109" s="53">
        <f>IF(AND($C$40="YES",$C$42="Incriment Date",$D$22=J108),LOOKUP(MAX(O108,N109),Sheet4!$A$3:$A$62,Sheet4!$C$3:$C$61),IF(AND($C$40="YES",$C$42="Promotion Date",$D$40=J108),LOOKUP(MAX(N109,O108),Sheet4!$A$3:$A$62,Sheet4!$C$3:$C$6189),MAX(O108,M109,N109,L109)))</f>
        <v>38130.0</v>
      </c>
      <c r="P109" s="53">
        <f t="shared" si="3"/>
        <v>12787.0</v>
      </c>
      <c r="Q109" s="53">
        <f t="shared" si="4"/>
        <v>4576.0</v>
      </c>
      <c r="R109" s="53">
        <f t="shared" si="6"/>
        <v>0.0</v>
      </c>
      <c r="S109" s="53">
        <f t="shared" si="7"/>
        <v>1000.0</v>
      </c>
      <c r="T109" s="53">
        <f t="shared" si="12"/>
        <v>0.0</v>
      </c>
      <c r="U109" s="258">
        <f t="shared" si="5"/>
        <v>5091.72768</v>
      </c>
      <c r="V109" s="53">
        <f t="shared" si="8"/>
        <v>0.0</v>
      </c>
      <c r="W109" s="53">
        <f t="shared" si="9"/>
        <v>225.0</v>
      </c>
      <c r="X109" s="53">
        <f t="shared" si="10"/>
        <v>30.0</v>
      </c>
      <c r="Y109" s="53">
        <f t="shared" si="11"/>
        <v>0.0</v>
      </c>
      <c r="Z109" s="53">
        <f t="shared" si="13"/>
        <v>0.0</v>
      </c>
    </row>
    <row r="110" spans="8:8" ht="15.0">
      <c r="A110" s="254"/>
      <c r="C110"/>
      <c r="D110"/>
      <c r="J110" s="53" t="str">
        <f>Sheet4!G12</f>
        <v>OCT21</v>
      </c>
      <c r="K110" s="53">
        <v>31.0</v>
      </c>
      <c r="L110" s="257">
        <f>IF(AND($C$38="YES",$D$38=J109,$D$22=J110),Sheet4!$F$5,IF(OR(AND($C$38="YES",$D$38=J29),$D$22=J110),LOOKUP(L109,Sheet4!$A$3:$A$62,Sheet4!$C$3:$C$61),L109))</f>
        <v>39160.0</v>
      </c>
      <c r="M110" s="53">
        <f>IF($D$22=J110,LOOKUP(M109,Sheet4!$A$3:$A$62,Sheet4!$C$3:$C$61),MAX(M109,N109,O109))</f>
        <v>39160.0</v>
      </c>
      <c r="N110" s="53">
        <f>IF(AND($C$38="YES",J109=$D$38),LOOKUP(MAX(N109,M110,O109),Sheet4!$A$3:$A$62,Sheet4!$C$3:$C$61),MAX(N109,M110))</f>
        <v>39160.0</v>
      </c>
      <c r="O110" s="53">
        <f>IF(AND($C$40="YES",$C$42="Incriment Date",$D$22=J109),LOOKUP(MAX(O109,N110),Sheet4!$A$3:$A$62,Sheet4!$C$3:$C$61),IF(AND($C$40="YES",$C$42="Promotion Date",$D$40=J109),LOOKUP(MAX(N110,O109),Sheet4!$A$3:$A$62,Sheet4!$C$3:$C$6189),MAX(O109,M110,N110,L110)))</f>
        <v>39160.0</v>
      </c>
      <c r="P110" s="53">
        <f t="shared" si="3"/>
        <v>13133.0</v>
      </c>
      <c r="Q110" s="53">
        <f t="shared" si="4"/>
        <v>4699.0</v>
      </c>
      <c r="R110" s="53">
        <f t="shared" si="6"/>
        <v>0.0</v>
      </c>
      <c r="S110" s="53">
        <f t="shared" si="7"/>
        <v>1000.0</v>
      </c>
      <c r="T110" s="53">
        <f t="shared" si="12"/>
        <v>0.0</v>
      </c>
      <c r="U110" s="258">
        <f t="shared" si="5"/>
        <v>5229.26976</v>
      </c>
      <c r="V110" s="53">
        <f t="shared" si="8"/>
        <v>0.0</v>
      </c>
      <c r="W110" s="53">
        <f t="shared" si="9"/>
        <v>225.0</v>
      </c>
      <c r="X110" s="53">
        <f t="shared" si="10"/>
        <v>30.0</v>
      </c>
      <c r="Y110" s="53">
        <f t="shared" si="11"/>
        <v>0.0</v>
      </c>
      <c r="Z110" s="53">
        <f t="shared" si="13"/>
        <v>0.0</v>
      </c>
    </row>
    <row r="111" spans="8:8" ht="15.0">
      <c r="A111" s="254"/>
      <c r="C111"/>
      <c r="D111"/>
      <c r="J111" s="53" t="str">
        <f>Sheet4!G13</f>
        <v>NOV21</v>
      </c>
      <c r="K111" s="53">
        <v>30.0</v>
      </c>
      <c r="L111" s="257">
        <f>IF(AND($C$38="YES",$D$38=J110,$D$22=J111),Sheet4!$F$5,IF(OR(AND($C$38="YES",$D$38=J30),$D$22=J111),LOOKUP(L110,Sheet4!$A$3:$A$62,Sheet4!$C$3:$C$61),L110))</f>
        <v>39160.0</v>
      </c>
      <c r="M111" s="53">
        <f>IF($D$22=J111,LOOKUP(M110,Sheet4!$A$3:$A$62,Sheet4!$C$3:$C$61),MAX(M110,N110,O110))</f>
        <v>39160.0</v>
      </c>
      <c r="N111" s="53">
        <f>IF(AND($C$38="YES",J110=$D$38),LOOKUP(MAX(N110,M111,O110),Sheet4!$A$3:$A$62,Sheet4!$C$3:$C$61),MAX(N110,M111))</f>
        <v>39160.0</v>
      </c>
      <c r="O111" s="53">
        <f>IF(AND($C$40="YES",$C$42="Incriment Date",$D$22=J110),LOOKUP(MAX(O110,N111),Sheet4!$A$3:$A$62,Sheet4!$C$3:$C$61),IF(AND($C$40="YES",$C$42="Promotion Date",$D$40=J110),LOOKUP(MAX(N111,O110),Sheet4!$A$3:$A$62,Sheet4!$C$3:$C$6189),MAX(O110,M111,N111,L111)))</f>
        <v>39160.0</v>
      </c>
      <c r="P111" s="53">
        <f t="shared" si="3"/>
        <v>13133.0</v>
      </c>
      <c r="Q111" s="53">
        <f t="shared" si="4"/>
        <v>4699.0</v>
      </c>
      <c r="R111" s="53">
        <f t="shared" si="6"/>
        <v>0.0</v>
      </c>
      <c r="S111" s="53">
        <f t="shared" si="7"/>
        <v>1000.0</v>
      </c>
      <c r="T111" s="53">
        <f t="shared" si="12"/>
        <v>0.0</v>
      </c>
      <c r="U111" s="258">
        <f t="shared" si="5"/>
        <v>5229.26976</v>
      </c>
      <c r="V111" s="53">
        <f t="shared" si="8"/>
        <v>0.0</v>
      </c>
      <c r="W111" s="53">
        <f t="shared" si="9"/>
        <v>225.0</v>
      </c>
      <c r="X111" s="53">
        <f t="shared" si="10"/>
        <v>30.0</v>
      </c>
      <c r="Y111" s="53">
        <f t="shared" si="11"/>
        <v>0.0</v>
      </c>
      <c r="Z111" s="53">
        <f t="shared" si="13"/>
        <v>0.0</v>
      </c>
    </row>
    <row r="112" spans="8:8" ht="15.0">
      <c r="A112" s="254"/>
      <c r="C112"/>
      <c r="D112"/>
      <c r="J112" s="53" t="str">
        <f>Sheet4!G14</f>
        <v>DEC21</v>
      </c>
      <c r="K112" s="53">
        <v>31.0</v>
      </c>
      <c r="L112" s="257">
        <f>IF(AND($C$38="YES",$D$38=J111,$D$22=J112),Sheet4!$F$5,IF(OR(AND($C$38="YES",$D$38=J31),$D$22=J112),LOOKUP(L111,Sheet4!$A$3:$A$62,Sheet4!$C$3:$C$61),L111))</f>
        <v>39160.0</v>
      </c>
      <c r="M112" s="53">
        <f>IF($D$22=J112,LOOKUP(M111,Sheet4!$A$3:$A$62,Sheet4!$C$3:$C$61),MAX(M111,N111,O111))</f>
        <v>39160.0</v>
      </c>
      <c r="N112" s="53">
        <f>IF(AND($C$38="YES",J111=$D$38),LOOKUP(MAX(N111,M112,O111),Sheet4!$A$3:$A$62,Sheet4!$C$3:$C$61),MAX(N111,M112))</f>
        <v>39160.0</v>
      </c>
      <c r="O112" s="53">
        <f>IF(AND($C$40="YES",$C$42="Incriment Date",$D$22=J111),LOOKUP(MAX(O111,N112),Sheet4!$A$3:$A$62,Sheet4!$C$3:$C$61),IF(AND($C$40="YES",$C$42="Promotion Date",$D$40=J111),LOOKUP(MAX(N112,O111),Sheet4!$A$3:$A$62,Sheet4!$C$3:$C$6189),MAX(O111,M112,N112,L112)))</f>
        <v>39160.0</v>
      </c>
      <c r="P112" s="53">
        <f t="shared" si="3"/>
        <v>13133.0</v>
      </c>
      <c r="Q112" s="53">
        <f t="shared" si="4"/>
        <v>4699.0</v>
      </c>
      <c r="R112" s="53">
        <f t="shared" si="6"/>
        <v>0.0</v>
      </c>
      <c r="S112" s="53">
        <f t="shared" si="7"/>
        <v>1000.0</v>
      </c>
      <c r="T112" s="53">
        <f t="shared" si="12"/>
        <v>0.0</v>
      </c>
      <c r="U112" s="258">
        <f t="shared" si="5"/>
        <v>5229.26976</v>
      </c>
      <c r="V112" s="53">
        <f t="shared" si="8"/>
        <v>0.0</v>
      </c>
      <c r="W112" s="53">
        <f t="shared" si="9"/>
        <v>225.0</v>
      </c>
      <c r="X112" s="53">
        <f t="shared" si="10"/>
        <v>30.0</v>
      </c>
      <c r="Y112" s="53">
        <f t="shared" si="11"/>
        <v>0.0</v>
      </c>
      <c r="Z112" s="53">
        <f t="shared" si="13"/>
        <v>0.0</v>
      </c>
    </row>
    <row r="113" spans="8:8" ht="15.0">
      <c r="A113" s="254"/>
      <c r="C113"/>
      <c r="D113"/>
      <c r="J113" s="53" t="str">
        <f>Sheet4!G15</f>
        <v>JAN22</v>
      </c>
      <c r="K113" s="53">
        <v>31.0</v>
      </c>
      <c r="L113" s="257">
        <f>H21</f>
        <v>55520.0</v>
      </c>
      <c r="M113" s="53">
        <f>IF($D$22=J113,LOOKUP(L113,Sheet4!$D$3:$D$85,Sheet4!$E$3:$E$84),MAX(M112,N112,O112))</f>
        <v>39160.0</v>
      </c>
      <c r="N113" s="53">
        <f>IF(AND($C$38="YES",J112=$D$38),LOOKUP(MAX(N112,M113,O112),Sheet4!$D$3:$D$85,Sheet4!$E$3:$E$84),MAX(N112,M113))</f>
        <v>39160.0</v>
      </c>
      <c r="O113" s="53">
        <f>IF(AND($C$40="YES",$C$42="Incriment Date",$D$22=J112),LOOKUP(MAX(O112,N113),Sheet4!$A$3:$A$62,Sheet4!$C$3:$C$61),IF(AND($C$40="YES",$C$42="Promotion Date",$D$40=J112),LOOKUP(MAX(N113,O112),Sheet4!$A$3:$A$62,Sheet4!$C$3:$C$6189),MAX(O112,M113,N113,L113)))</f>
        <v>55520.0</v>
      </c>
      <c r="P113" s="53">
        <f t="shared" si="3"/>
        <v>11115.0</v>
      </c>
      <c r="Q113" s="53">
        <f t="shared" si="4"/>
        <v>4442.0</v>
      </c>
      <c r="R113" s="53">
        <f t="shared" si="6"/>
        <v>0.0</v>
      </c>
      <c r="S113" s="53">
        <f t="shared" si="7"/>
        <v>1000.0</v>
      </c>
      <c r="T113" s="53">
        <f t="shared" si="12"/>
        <v>0.0</v>
      </c>
      <c r="U113" s="258">
        <f t="shared" si="5"/>
        <v>6663.510399999999</v>
      </c>
      <c r="V113" s="53">
        <f t="shared" si="8"/>
        <v>0.0</v>
      </c>
      <c r="W113" s="53">
        <f t="shared" si="9"/>
        <v>225.0</v>
      </c>
      <c r="X113" s="53">
        <f t="shared" si="10"/>
        <v>30.0</v>
      </c>
      <c r="Y113" s="53">
        <f t="shared" si="11"/>
        <v>0.0</v>
      </c>
      <c r="Z113" s="53">
        <f t="shared" si="13"/>
        <v>0.0</v>
      </c>
    </row>
    <row r="114" spans="8:8">
      <c r="A114" s="254"/>
      <c r="J114" s="53" t="str">
        <f>Sheet4!G16</f>
        <v>FEB22</v>
      </c>
      <c r="K114" s="53">
        <v>28.0</v>
      </c>
      <c r="L114" s="257">
        <f>IF(AND($C$38="YES",$D$38=J113,$D$22=J114),Sheet4!$F$10,IF(OR(AND($C$38="YES",$D$38=J33),$D$22=J114),LOOKUP(L113,Sheet4!$D$3:$D$85,Sheet4!$E$3:$E$84),L113))</f>
        <v>55520.0</v>
      </c>
      <c r="M114" s="53">
        <f>IF($D$22=J114,LOOKUP(M113,Sheet4!$D$3:$D$85,Sheet4!$E$3:$E$84),MAX(M113,N113,O113))</f>
        <v>55520.0</v>
      </c>
      <c r="N114" s="53">
        <f>IF(AND($C$38="YES",J113=$D$38),LOOKUP(MAX(N113,M114,O113),Sheet4!$A$3:$A$62,Sheet4!$C$3:$C$61),MAX(N113,M114))</f>
        <v>55520.0</v>
      </c>
      <c r="O114" s="53">
        <f>IF(AND($C$40="YES",$C$42="Incriment Date",$D$22=J113),LOOKUP(MAX(O113,N114),Sheet4!$A$3:$A$62,Sheet4!$C$3:$C$61),IF(AND($C$40="YES",$C$42="Promotion Date",$D$40=J113),LOOKUP(MAX(N114,O113),Sheet4!$A$3:$A$62,Sheet4!$C$3:$C$6189),MAX(O113,M114,N114,L114)))</f>
        <v>55520.0</v>
      </c>
      <c r="P114" s="53">
        <f t="shared" si="3"/>
        <v>11115.0</v>
      </c>
      <c r="Q114" s="53">
        <f t="shared" si="4"/>
        <v>4442.0</v>
      </c>
      <c r="R114" s="53">
        <f t="shared" si="6"/>
        <v>0.0</v>
      </c>
      <c r="S114" s="53">
        <f t="shared" si="7"/>
        <v>1000.0</v>
      </c>
      <c r="T114" s="53">
        <f t="shared" si="12"/>
        <v>0.0</v>
      </c>
      <c r="U114" s="258">
        <f t="shared" si="5"/>
        <v>6663.510399999999</v>
      </c>
      <c r="V114" s="53">
        <f t="shared" si="8"/>
        <v>0.0</v>
      </c>
      <c r="W114" s="53">
        <f t="shared" si="9"/>
        <v>225.0</v>
      </c>
      <c r="X114" s="53">
        <f t="shared" si="10"/>
        <v>30.0</v>
      </c>
      <c r="Y114" s="53">
        <f t="shared" si="11"/>
        <v>0.0</v>
      </c>
      <c r="Z114" s="53">
        <f t="shared" si="13"/>
        <v>0.0</v>
      </c>
    </row>
    <row r="115" spans="8:8">
      <c r="A115" s="254"/>
      <c r="B115" s="48"/>
    </row>
    <row r="116" spans="8:8" ht="15.0">
      <c r="A116" s="254"/>
      <c r="B116" s="48"/>
      <c r="F116"/>
    </row>
    <row r="117" spans="8:8">
      <c r="A117" s="254"/>
      <c r="B117" s="48"/>
    </row>
    <row r="118" spans="8:8">
      <c r="A118" s="254"/>
      <c r="B118" s="48"/>
    </row>
    <row r="119" spans="8:8">
      <c r="A119" s="254"/>
      <c r="B119" s="48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 t="s">
        <v>540</v>
      </c>
      <c r="Y119" s="55" t="str">
        <f>D25</f>
        <v>YES</v>
      </c>
      <c r="Z119" s="55"/>
      <c r="AA119" s="55"/>
      <c r="AB119" s="55"/>
      <c r="AC119" s="55"/>
    </row>
    <row r="120" spans="8:8" ht="15.75">
      <c r="A120" s="254"/>
      <c r="B120" s="48"/>
      <c r="N120" s="261" t="s">
        <v>120</v>
      </c>
      <c r="O120" s="261"/>
      <c r="P120" s="261"/>
      <c r="Q120" s="261"/>
      <c r="R120" s="261"/>
      <c r="S120" s="261"/>
      <c r="T120" s="261"/>
      <c r="U120" s="262"/>
      <c r="V120" s="262"/>
      <c r="W120" s="263"/>
      <c r="X120" s="263"/>
      <c r="Y120" s="53"/>
      <c r="Z120" s="53"/>
      <c r="AA120" s="53"/>
      <c r="AB120" s="53"/>
      <c r="AC120" s="55"/>
    </row>
    <row r="121" spans="8:8" ht="15.75">
      <c r="A121" s="254"/>
      <c r="B121" s="48"/>
      <c r="N121" s="264" t="s">
        <v>92</v>
      </c>
      <c r="O121" s="265" t="str">
        <f>C24</f>
        <v>CPS</v>
      </c>
      <c r="P121" s="265"/>
      <c r="Q121" s="265"/>
      <c r="R121" s="266" t="s">
        <v>121</v>
      </c>
      <c r="S121" s="267">
        <f>D24</f>
        <v>1.23456789E8</v>
      </c>
      <c r="T121" s="268" t="s">
        <v>122</v>
      </c>
      <c r="U121" s="262" t="s">
        <v>90</v>
      </c>
      <c r="V121" s="262"/>
      <c r="W121" s="269">
        <f>Y121</f>
        <v>64179.0</v>
      </c>
      <c r="X121" s="263"/>
      <c r="Y121" s="270">
        <f>IF(AND(O121="CPS",D25="YES"),Z121-AC132,Z121)</f>
        <v>64179.0</v>
      </c>
      <c r="Z121" s="271">
        <f>'ANNEXURE I'!M23</f>
        <v>64179.0</v>
      </c>
      <c r="AA121" s="272">
        <f>IF(AND(O121="CPS",D25="YES",Z121&lt;AC132),AC132-Z121,Z121)</f>
        <v>64179.0</v>
      </c>
      <c r="AB121" s="272"/>
      <c r="AC121" s="55"/>
    </row>
    <row r="122" spans="8:8" ht="15.75">
      <c r="B122" s="48"/>
      <c r="N122" s="264" t="s">
        <v>94</v>
      </c>
      <c r="O122" s="265" t="str">
        <f>B26</f>
        <v>APGLI</v>
      </c>
      <c r="P122" s="265"/>
      <c r="Q122" s="273"/>
      <c r="R122" s="274" t="s">
        <v>123</v>
      </c>
      <c r="S122" s="273" t="str">
        <f>D26</f>
        <v>L123456</v>
      </c>
      <c r="T122" s="268" t="s">
        <v>122</v>
      </c>
      <c r="U122" s="262" t="s">
        <v>90</v>
      </c>
      <c r="V122" s="262"/>
      <c r="W122" s="275">
        <f t="shared" si="14" ref="W122:W131">Y122</f>
        <v>12000.0</v>
      </c>
      <c r="X122" s="263"/>
      <c r="Y122" s="276">
        <f>'ANNEXURE I'!N23</f>
        <v>12000.0</v>
      </c>
      <c r="Z122" s="277">
        <f>'ANNEXURE I'!N23</f>
        <v>12000.0</v>
      </c>
      <c r="AA122" s="276"/>
      <c r="AB122" s="276"/>
      <c r="AC122" s="278"/>
    </row>
    <row r="123" spans="8:8" ht="15.75">
      <c r="B123" s="48"/>
      <c r="N123" s="264" t="s">
        <v>97</v>
      </c>
      <c r="O123" s="273" t="str">
        <f>B28</f>
        <v>GIS</v>
      </c>
      <c r="P123" s="273"/>
      <c r="Q123" s="273"/>
      <c r="R123" s="273"/>
      <c r="S123" s="273"/>
      <c r="T123" s="273"/>
      <c r="U123" s="262" t="s">
        <v>90</v>
      </c>
      <c r="V123" s="262"/>
      <c r="W123" s="275">
        <f t="shared" si="14"/>
        <v>360.0</v>
      </c>
      <c r="X123" s="263"/>
      <c r="Y123" s="272">
        <f>'ANNEXURE I'!O23</f>
        <v>360.0</v>
      </c>
      <c r="Z123" s="279">
        <f>'ANNEXURE I'!O23</f>
        <v>360.0</v>
      </c>
      <c r="AA123" s="272"/>
      <c r="AB123" s="272"/>
      <c r="AC123" s="55"/>
    </row>
    <row r="124" spans="8:8" ht="15.75">
      <c r="B124" s="48"/>
      <c r="N124" s="264" t="s">
        <v>108</v>
      </c>
      <c r="O124" s="265" t="str">
        <f>B29</f>
        <v>LIC (Salary)</v>
      </c>
      <c r="P124" s="265"/>
      <c r="Q124" s="265"/>
      <c r="R124" s="265"/>
      <c r="S124" s="265"/>
      <c r="T124" s="265"/>
      <c r="U124" s="262" t="s">
        <v>90</v>
      </c>
      <c r="V124" s="262"/>
      <c r="W124" s="275">
        <f t="shared" si="14"/>
        <v>0.0</v>
      </c>
      <c r="X124" s="263"/>
      <c r="Y124" s="272">
        <f>'ANNEXURE I'!Q23</f>
        <v>0.0</v>
      </c>
      <c r="Z124" s="279">
        <f>'ANNEXURE I'!Q23</f>
        <v>0.0</v>
      </c>
      <c r="AA124" s="272"/>
      <c r="AB124" s="272"/>
      <c r="AC124" s="55"/>
    </row>
    <row r="125" spans="8:8" ht="15.75">
      <c r="B125" s="48"/>
      <c r="N125" s="264" t="s">
        <v>109</v>
      </c>
      <c r="O125" s="265" t="str">
        <f t="shared" si="15" ref="O125:O131">B47</f>
        <v>Life Insurance Premium</v>
      </c>
      <c r="P125" s="265"/>
      <c r="Q125" s="265"/>
      <c r="R125" s="265"/>
      <c r="S125" s="265"/>
      <c r="T125" s="265"/>
      <c r="U125" s="262" t="s">
        <v>90</v>
      </c>
      <c r="V125" s="262"/>
      <c r="W125" s="275">
        <f t="shared" si="14"/>
        <v>0.0</v>
      </c>
      <c r="X125" s="263"/>
      <c r="Y125" s="272">
        <f t="shared" si="16" ref="Y125:Y131">E47</f>
        <v>0.0</v>
      </c>
      <c r="Z125" s="279">
        <f t="shared" si="17" ref="Z125:Z131">E47</f>
        <v>0.0</v>
      </c>
      <c r="AA125" s="272"/>
      <c r="AB125" s="272"/>
      <c r="AC125" s="55"/>
    </row>
    <row r="126" spans="8:8" ht="15.75">
      <c r="B126" s="48"/>
      <c r="N126" s="280" t="s">
        <v>110</v>
      </c>
      <c r="O126" s="265" t="str">
        <f t="shared" si="15"/>
        <v>Children’s Tuition Fees</v>
      </c>
      <c r="P126" s="265"/>
      <c r="Q126" s="265"/>
      <c r="R126" s="265"/>
      <c r="S126" s="265"/>
      <c r="T126" s="273"/>
      <c r="U126" s="262" t="s">
        <v>90</v>
      </c>
      <c r="V126" s="262"/>
      <c r="W126" s="275">
        <f t="shared" si="14"/>
        <v>0.0</v>
      </c>
      <c r="X126" s="263"/>
      <c r="Y126" s="272">
        <f t="shared" si="16"/>
        <v>0.0</v>
      </c>
      <c r="Z126" s="279">
        <f t="shared" si="17"/>
        <v>0.0</v>
      </c>
      <c r="AA126" s="272"/>
      <c r="AB126" s="272"/>
      <c r="AC126" s="55"/>
    </row>
    <row r="127" spans="8:8" ht="15.75">
      <c r="B127" s="48"/>
      <c r="N127" s="264" t="s">
        <v>111</v>
      </c>
      <c r="O127" s="265" t="str">
        <f t="shared" si="15"/>
        <v>National Savings Certificates (NSC)</v>
      </c>
      <c r="P127" s="265"/>
      <c r="Q127" s="265"/>
      <c r="R127" s="265"/>
      <c r="S127" s="265"/>
      <c r="T127" s="273"/>
      <c r="U127" s="262" t="s">
        <v>90</v>
      </c>
      <c r="V127" s="262"/>
      <c r="W127" s="275">
        <f t="shared" si="14"/>
        <v>0.0</v>
      </c>
      <c r="X127" s="263"/>
      <c r="Y127" s="272">
        <f t="shared" si="16"/>
        <v>0.0</v>
      </c>
      <c r="Z127" s="279">
        <f t="shared" si="17"/>
        <v>0.0</v>
      </c>
      <c r="AA127" s="272"/>
      <c r="AB127" s="272"/>
      <c r="AC127" s="55"/>
    </row>
    <row r="128" spans="8:8" ht="15.75">
      <c r="B128" s="48"/>
      <c r="N128" s="280" t="s">
        <v>113</v>
      </c>
      <c r="O128" s="265" t="str">
        <f t="shared" si="15"/>
        <v>Exide Life Insurance</v>
      </c>
      <c r="P128" s="265"/>
      <c r="Q128" s="265"/>
      <c r="R128" s="265"/>
      <c r="S128" s="265"/>
      <c r="T128" s="273"/>
      <c r="U128" s="262" t="s">
        <v>90</v>
      </c>
      <c r="V128" s="262"/>
      <c r="W128" s="275">
        <f t="shared" si="14"/>
        <v>0.0</v>
      </c>
      <c r="X128" s="263"/>
      <c r="Y128" s="272">
        <f t="shared" si="16"/>
        <v>0.0</v>
      </c>
      <c r="Z128" s="279">
        <f t="shared" si="17"/>
        <v>0.0</v>
      </c>
      <c r="AA128" s="272"/>
      <c r="AB128" s="272"/>
      <c r="AC128" s="55"/>
    </row>
    <row r="129" spans="8:8" ht="15.75">
      <c r="B129" s="48"/>
      <c r="N129" s="264" t="s">
        <v>114</v>
      </c>
      <c r="O129" s="273" t="str">
        <f t="shared" si="15"/>
        <v>Sukanya Samriddhi Account Deposit Scheme</v>
      </c>
      <c r="P129" s="273"/>
      <c r="Q129" s="273"/>
      <c r="R129" s="273"/>
      <c r="S129" s="273"/>
      <c r="T129" s="273"/>
      <c r="U129" s="262" t="s">
        <v>90</v>
      </c>
      <c r="V129" s="262"/>
      <c r="W129" s="275">
        <f t="shared" si="14"/>
        <v>0.0</v>
      </c>
      <c r="X129" s="263"/>
      <c r="Y129" s="272">
        <f t="shared" si="16"/>
        <v>0.0</v>
      </c>
      <c r="Z129" s="279">
        <f t="shared" si="17"/>
        <v>0.0</v>
      </c>
      <c r="AA129" s="272"/>
      <c r="AB129" s="272"/>
      <c r="AC129" s="55"/>
    </row>
    <row r="130" spans="8:8" ht="15.75">
      <c r="B130" s="48"/>
      <c r="N130" s="280" t="s">
        <v>115</v>
      </c>
      <c r="O130" s="265" t="str">
        <f t="shared" si="15"/>
        <v>Repayment of Home Loan (Principal only)</v>
      </c>
      <c r="P130" s="265"/>
      <c r="Q130" s="265"/>
      <c r="R130" s="265"/>
      <c r="S130" s="265"/>
      <c r="T130" s="273"/>
      <c r="U130" s="262" t="s">
        <v>90</v>
      </c>
      <c r="V130" s="262"/>
      <c r="W130" s="275">
        <f t="shared" si="14"/>
        <v>0.0</v>
      </c>
      <c r="X130" s="263"/>
      <c r="Y130" s="272">
        <f t="shared" si="16"/>
        <v>0.0</v>
      </c>
      <c r="Z130" s="279">
        <f t="shared" si="17"/>
        <v>0.0</v>
      </c>
      <c r="AA130" s="272"/>
      <c r="AB130" s="272"/>
      <c r="AC130" s="55"/>
    </row>
    <row r="131" spans="8:8" ht="15.75">
      <c r="B131" s="48"/>
      <c r="N131" s="281" t="s">
        <v>117</v>
      </c>
      <c r="O131" s="265" t="str">
        <f t="shared" si="15"/>
        <v>Other</v>
      </c>
      <c r="P131" s="265"/>
      <c r="Q131" s="265"/>
      <c r="R131" s="265"/>
      <c r="S131" s="265"/>
      <c r="T131" s="273"/>
      <c r="U131" s="262" t="s">
        <v>90</v>
      </c>
      <c r="V131" s="262"/>
      <c r="W131" s="275">
        <f t="shared" si="14"/>
        <v>0.0</v>
      </c>
      <c r="X131" s="263"/>
      <c r="Y131" s="272">
        <f t="shared" si="16"/>
        <v>0.0</v>
      </c>
      <c r="Z131" s="279">
        <f t="shared" si="17"/>
        <v>0.0</v>
      </c>
      <c r="AA131" s="272"/>
      <c r="AB131" s="272"/>
      <c r="AC131" s="55"/>
    </row>
    <row r="132" spans="8:8" ht="16.5">
      <c r="B132" s="48"/>
      <c r="N132" s="282" t="s">
        <v>124</v>
      </c>
      <c r="O132" s="282"/>
      <c r="P132" s="282"/>
      <c r="Q132" s="282"/>
      <c r="R132" s="283"/>
      <c r="S132" s="283"/>
      <c r="T132" s="284"/>
      <c r="U132" s="262" t="s">
        <v>90</v>
      </c>
      <c r="V132" s="262"/>
      <c r="W132" s="285">
        <f>SUM(W121:W131)</f>
        <v>76539.0</v>
      </c>
      <c r="X132" s="286">
        <f>IF(W132&gt;150000,150000,W132)</f>
        <v>76539.0</v>
      </c>
      <c r="Y132" s="270">
        <f>SUM(Y121:Y131)</f>
        <v>76539.0</v>
      </c>
      <c r="Z132" s="271">
        <f>SUM(Z121:Z131)</f>
        <v>76539.0</v>
      </c>
      <c r="AA132" s="272"/>
      <c r="AB132" s="272">
        <f>IF(C24="CPS",IF(D25="YES",IF(Z132&gt;150000,Z132-150000,0),0),0)</f>
        <v>0.0</v>
      </c>
      <c r="AC132" s="272">
        <f>IF(AB132&lt;50000,AB132,50000)</f>
        <v>0.0</v>
      </c>
    </row>
    <row r="133" spans="8:8" ht="15.75">
      <c r="B133" s="48"/>
      <c r="N133" s="282" t="s">
        <v>125</v>
      </c>
      <c r="O133" s="282"/>
      <c r="P133" s="282"/>
      <c r="Q133" s="282"/>
      <c r="R133" s="282"/>
      <c r="S133" s="282"/>
      <c r="T133" s="282"/>
      <c r="U133" s="262" t="s">
        <v>90</v>
      </c>
      <c r="V133" s="262"/>
      <c r="W133" s="263">
        <f>D75</f>
        <v>0.0</v>
      </c>
      <c r="X133" s="286">
        <f>W133</f>
        <v>0.0</v>
      </c>
      <c r="Y133" s="272"/>
      <c r="Z133" s="272"/>
      <c r="AA133" s="272"/>
      <c r="AB133" s="272"/>
      <c r="AC133" s="55"/>
    </row>
    <row r="134" spans="8:8" ht="15.75">
      <c r="B134" s="48"/>
      <c r="N134" s="287" t="s">
        <v>343</v>
      </c>
      <c r="O134" s="287"/>
      <c r="P134" s="287"/>
      <c r="Q134" s="287"/>
      <c r="R134" s="287"/>
      <c r="S134" s="287"/>
      <c r="T134" s="287"/>
      <c r="U134" s="262" t="s">
        <v>90</v>
      </c>
      <c r="V134" s="288"/>
      <c r="W134" s="289">
        <f>AC132</f>
        <v>0.0</v>
      </c>
      <c r="X134" s="288"/>
      <c r="Y134" s="272"/>
      <c r="Z134" s="270">
        <f>AB132</f>
        <v>0.0</v>
      </c>
      <c r="AA134" s="270"/>
      <c r="AB134" s="272"/>
      <c r="AC134" s="55">
        <f>IF(AC132&gt;Z121,Z121,Z121-AC132)</f>
        <v>64179.0</v>
      </c>
    </row>
    <row r="135" spans="8:8">
      <c r="B135" s="48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</row>
    <row r="136" spans="8:8">
      <c r="B136" s="48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</row>
    <row r="137" spans="8:8">
      <c r="B137" s="48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</row>
    <row r="138" spans="8:8">
      <c r="B138" s="48"/>
    </row>
    <row r="139" spans="8:8">
      <c r="B139" s="48"/>
      <c r="O139" s="55"/>
      <c r="P139" s="55" t="str">
        <f>IF(C39="YES","EL Month YES","No EL")</f>
        <v>No EL</v>
      </c>
      <c r="Q139" s="55" t="str">
        <f>IF(C39="YES",D39,"No EL")</f>
        <v>No EL</v>
      </c>
      <c r="R139" s="55" t="str">
        <f>IF(C39="YES",D39,"No EL")</f>
        <v>No EL</v>
      </c>
      <c r="S139" s="55"/>
      <c r="T139" s="55"/>
      <c r="U139" s="55"/>
      <c r="V139" s="55"/>
      <c r="W139" s="55"/>
      <c r="X139" s="55"/>
      <c r="Y139" s="55"/>
    </row>
    <row r="140" spans="8:8">
      <c r="O140" s="55"/>
      <c r="P140" s="55" t="s">
        <v>73</v>
      </c>
      <c r="Q140" s="55">
        <f>IF(AND(NOT(D39="No Change"),C39="YES"),E39,0)</f>
        <v>0.0</v>
      </c>
      <c r="R140" s="55"/>
      <c r="S140" s="55"/>
      <c r="T140" s="55"/>
      <c r="U140" s="55"/>
      <c r="V140" s="55"/>
      <c r="W140" s="55"/>
      <c r="X140" s="55"/>
      <c r="Y140" s="55"/>
    </row>
    <row r="141" spans="8:8">
      <c r="O141" s="55"/>
      <c r="P141" s="55" t="s">
        <v>83</v>
      </c>
      <c r="Q141" s="55">
        <f>IF(AND(NOT(D39="No Change"),C39="YES"),VLOOKUP(D39,MBDH,2,FALSE),0)</f>
        <v>0.0</v>
      </c>
      <c r="R141" s="55"/>
      <c r="S141" s="55"/>
      <c r="T141" s="55"/>
      <c r="U141" s="55"/>
      <c r="V141" s="55"/>
      <c r="W141" s="55"/>
      <c r="X141" s="55"/>
      <c r="Y141" s="55"/>
    </row>
    <row r="142" spans="8:8">
      <c r="O142" s="55"/>
      <c r="P142" s="55" t="s">
        <v>72</v>
      </c>
      <c r="Q142" s="55">
        <f>IF(AND(NOT(D39="No Change"),C39="YES"),VLOOKUP(D39,J20:M34,4,FALSE),0)</f>
        <v>0.0</v>
      </c>
      <c r="R142" s="55">
        <f>ROUND(Q141*Data!Q142%,0)</f>
        <v>0.0</v>
      </c>
      <c r="S142" s="55"/>
      <c r="T142" s="55"/>
      <c r="U142" s="55"/>
      <c r="V142" s="55"/>
      <c r="W142" s="55"/>
      <c r="X142" s="55"/>
      <c r="Y142" s="55"/>
    </row>
    <row r="143" spans="8:8">
      <c r="O143" s="55"/>
      <c r="P143" s="55" t="s">
        <v>74</v>
      </c>
      <c r="Q143" s="55">
        <f>IF(AND(NOT(D39="No Change"),C39="YES"),VLOOKUP(D39,J20:M34,3,FALSE),0)</f>
        <v>0.0</v>
      </c>
      <c r="R143" s="55">
        <f>ROUND(Q141*Data!Q143%,0)</f>
        <v>0.0</v>
      </c>
      <c r="S143" s="55"/>
      <c r="T143" s="55"/>
      <c r="U143" s="55"/>
      <c r="V143" s="55"/>
      <c r="W143" s="55"/>
      <c r="X143" s="55"/>
      <c r="Y143" s="55"/>
    </row>
    <row r="144" spans="8:8">
      <c r="O144" s="55"/>
      <c r="P144" s="55" t="s">
        <v>262</v>
      </c>
      <c r="Q144" s="55"/>
      <c r="R144" s="55">
        <f>IF(Q140=30,Q141+R142+R143,ROUND((Q141+R142+R143)/2,0))</f>
        <v>0.0</v>
      </c>
      <c r="S144" s="55"/>
      <c r="T144" s="55"/>
      <c r="U144" s="55"/>
      <c r="V144" s="55"/>
      <c r="W144" s="55"/>
      <c r="X144" s="55"/>
      <c r="Y144" s="55"/>
    </row>
    <row r="145" spans="8:8"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</row>
    <row r="146" spans="8:8">
      <c r="O146" s="55"/>
      <c r="P146" s="55" t="str">
        <f>IF(C38="YES","AAS Month","No AAS")</f>
        <v>No AAS</v>
      </c>
      <c r="Q146" s="55">
        <f>IF(AND(C38="YES",NOT(D38="No Change")),D38,0)</f>
        <v>0.0</v>
      </c>
      <c r="R146" s="55"/>
      <c r="S146" s="290" t="s">
        <v>77</v>
      </c>
      <c r="T146" s="290" t="s">
        <v>78</v>
      </c>
      <c r="U146" s="290" t="s">
        <v>79</v>
      </c>
      <c r="V146" s="55"/>
      <c r="W146" s="55"/>
      <c r="X146" s="55" t="str">
        <f>IF(NOT(G23="No change"),"HRA Change","No Change in HRA")</f>
        <v>HRA Change</v>
      </c>
      <c r="Y146" s="55" t="str">
        <f>IF(NOT(H23="No change"),G23,0)</f>
        <v>JAN22</v>
      </c>
      <c r="Z146" s="55"/>
      <c r="AA146" s="290" t="s">
        <v>77</v>
      </c>
      <c r="AB146" s="290" t="s">
        <v>78</v>
      </c>
      <c r="AC146" s="290" t="s">
        <v>79</v>
      </c>
      <c r="AD146" s="55"/>
    </row>
    <row r="147" spans="8:8">
      <c r="O147" s="55"/>
      <c r="P147" s="55"/>
      <c r="Q147" s="55"/>
      <c r="R147" s="55"/>
      <c r="S147" s="290"/>
      <c r="T147" s="290"/>
      <c r="U147" s="290"/>
      <c r="V147" s="55"/>
      <c r="W147" s="55"/>
      <c r="X147" s="55"/>
      <c r="Y147" s="55"/>
      <c r="Z147" s="55"/>
      <c r="AA147" s="290"/>
      <c r="AB147" s="290"/>
      <c r="AC147" s="290"/>
      <c r="AD147" s="55"/>
    </row>
    <row r="148" spans="8:8" ht="15.0">
      <c r="O148" s="55"/>
      <c r="P148" s="55"/>
      <c r="Q148" s="55"/>
      <c r="R148" s="291" t="s">
        <v>80</v>
      </c>
      <c r="S148" s="55">
        <f>IF(AND(C38="YES",NOT(D38="No Change")),VLOOKUP(Q146,table,2,FALSE),0)</f>
        <v>0.0</v>
      </c>
      <c r="T148" s="55">
        <f>E38</f>
        <v>22.0</v>
      </c>
      <c r="U148" s="55">
        <f>S148-T148</f>
        <v>-22.0</v>
      </c>
      <c r="V148" s="55">
        <f>U148+1</f>
        <v>-21.0</v>
      </c>
      <c r="W148" s="55"/>
      <c r="X148" s="55"/>
      <c r="Y148" s="55"/>
      <c r="Z148" s="291" t="s">
        <v>80</v>
      </c>
      <c r="AA148" s="55">
        <f>VLOOKUP(Y146,table,2,FALSE)</f>
        <v>31.0</v>
      </c>
      <c r="AB148" s="55">
        <f>I23</f>
        <v>1.0</v>
      </c>
      <c r="AC148" s="55">
        <f>AA148-AB148</f>
        <v>30.0</v>
      </c>
      <c r="AD148" s="55">
        <f>AC148+1</f>
        <v>31.0</v>
      </c>
    </row>
    <row r="149" spans="8:8" ht="15.0">
      <c r="O149" s="55"/>
      <c r="P149" s="55"/>
      <c r="Q149" s="55"/>
      <c r="R149" s="291" t="s">
        <v>81</v>
      </c>
      <c r="S149" s="55">
        <f>IF(AND(C38="YES",NOT(D38="No Change")),VLOOKUP(Q146,table,3,FALSE),0)</f>
        <v>0.0</v>
      </c>
      <c r="T149" s="55">
        <f>IF(AND(C38="YES",NOT(D38="No Change")),VLOOKUP(Data!S149,Sheet4!$A$3:$C$63,3,FALSE),0)</f>
        <v>0.0</v>
      </c>
      <c r="U149" s="55"/>
      <c r="V149" s="55"/>
      <c r="W149" s="55"/>
      <c r="X149" s="55"/>
      <c r="Y149" s="55"/>
      <c r="Z149" s="291" t="s">
        <v>81</v>
      </c>
      <c r="AA149" s="55">
        <f>VLOOKUP(Y146,table,3,FALSE)</f>
        <v>55520.0</v>
      </c>
      <c r="AB149" s="55"/>
      <c r="AC149" s="55"/>
      <c r="AD149" s="55"/>
    </row>
    <row r="150" spans="8:8">
      <c r="O150" s="55"/>
      <c r="P150" s="55"/>
      <c r="Q150" s="55"/>
      <c r="R150" s="55" t="s">
        <v>82</v>
      </c>
      <c r="S150" s="55">
        <f>IF(AND(C38="YES",NOT(D38="No Change")),ROUND(S149*V148/S148,0),0)</f>
        <v>0.0</v>
      </c>
      <c r="T150" s="55">
        <f>IF(AND(C38="YES",NOT(D38="No Change")),ROUND(T149*V148/S148,0),0)</f>
        <v>0.0</v>
      </c>
      <c r="U150" s="55">
        <f>T150-S150</f>
        <v>0.0</v>
      </c>
      <c r="V150" s="55"/>
      <c r="W150" s="55"/>
      <c r="X150" s="55"/>
      <c r="Y150" s="55"/>
      <c r="Z150" s="48" t="s">
        <v>693</v>
      </c>
      <c r="AA150" s="48">
        <f>E23</f>
        <v>12.0</v>
      </c>
      <c r="AB150" s="48">
        <f>ROUND(AA149*AA150%,0)</f>
        <v>6662.0</v>
      </c>
      <c r="AC150" s="48">
        <f>ROUND(AB150*AB148/AA148,0)</f>
        <v>215.0</v>
      </c>
      <c r="AD150" s="55"/>
    </row>
    <row r="151" spans="8:8">
      <c r="O151" s="55"/>
      <c r="P151" s="55"/>
      <c r="Q151" s="55"/>
      <c r="R151" s="55" t="s">
        <v>51</v>
      </c>
      <c r="S151" s="55">
        <f>IF(AND(C38="YES",NOT(D38="No Change")),ROUND(S150*(VLOOKUP(D38,MBDH,3,FALSE))%,0),0)</f>
        <v>0.0</v>
      </c>
      <c r="T151" s="55">
        <f>IF(AND(C38="YES",NOT(D38="No Change")),ROUND(T150*(VLOOKUP(D38,MBDH,3,FALSE))%,0),0)</f>
        <v>0.0</v>
      </c>
      <c r="U151" s="55">
        <f>T151-S151</f>
        <v>0.0</v>
      </c>
      <c r="V151" s="55"/>
      <c r="W151" s="55"/>
      <c r="X151" s="55"/>
      <c r="Y151" s="55"/>
      <c r="Z151" s="48" t="s">
        <v>694</v>
      </c>
      <c r="AA151" s="48">
        <f>H23</f>
        <v>8.0</v>
      </c>
      <c r="AB151" s="48">
        <f>ROUND(AA149*AA151%,0)</f>
        <v>4442.0</v>
      </c>
      <c r="AC151" s="48">
        <f>ROUND(AB151*AC148/AA148,0)</f>
        <v>4299.0</v>
      </c>
      <c r="AD151" s="48">
        <f>ROUND(AC150+AC151,0)</f>
        <v>4514.0</v>
      </c>
    </row>
    <row r="152" spans="8:8">
      <c r="O152" s="55"/>
      <c r="P152" s="55"/>
      <c r="Q152" s="55"/>
      <c r="R152" s="55" t="s">
        <v>52</v>
      </c>
      <c r="S152" s="55">
        <f>IF(AND(C38="YES",NOT(D38="No Change")),ROUND(S150*(VLOOKUP(D38,MBDH,4,FALSE))%,0),0)</f>
        <v>0.0</v>
      </c>
      <c r="T152" s="55">
        <f>IF(AND(C38="YES",NOT(D38="No Change")),ROUND(T150*(VLOOKUP(D38,MBDH,4,FALSE))%,0),0)</f>
        <v>0.0</v>
      </c>
      <c r="U152" s="55">
        <f>T152-S152</f>
        <v>0.0</v>
      </c>
      <c r="V152" s="55">
        <f>SUM(U150:U152)</f>
        <v>0.0</v>
      </c>
      <c r="W152" s="55"/>
      <c r="X152" s="55"/>
      <c r="Y152" s="55"/>
      <c r="Z152" s="55" t="s">
        <v>52</v>
      </c>
      <c r="AA152" s="55"/>
      <c r="AB152" s="55"/>
      <c r="AC152" s="55">
        <f>IF(AB148=1,0,ROUND(AD151-AB151,0))</f>
        <v>0.0</v>
      </c>
      <c r="AD152" s="55">
        <f>SUM(AC150:AC152)</f>
        <v>4514.0</v>
      </c>
    </row>
    <row r="153" spans="8:8"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</row>
    <row r="154" spans="8:8">
      <c r="O154" s="55"/>
      <c r="P154" s="55" t="str">
        <f>IF(C40="YES","Promotion Months","No Promotion")</f>
        <v>No Promotion</v>
      </c>
      <c r="Q154" s="55" t="str">
        <f>IF(C40="YES",D40,"No Promotion")</f>
        <v>No Promotion</v>
      </c>
      <c r="R154" s="55"/>
      <c r="S154" s="290" t="s">
        <v>77</v>
      </c>
      <c r="T154" s="290" t="s">
        <v>78</v>
      </c>
      <c r="U154" s="290" t="s">
        <v>79</v>
      </c>
      <c r="V154" s="55"/>
      <c r="W154" s="55"/>
      <c r="X154" s="55"/>
      <c r="Y154" s="55"/>
    </row>
    <row r="155" spans="8:8">
      <c r="O155" s="55"/>
      <c r="P155" s="55"/>
      <c r="Q155" s="55"/>
      <c r="R155" s="55"/>
      <c r="S155" s="290"/>
      <c r="T155" s="290"/>
      <c r="U155" s="290"/>
      <c r="V155" s="55"/>
      <c r="W155" s="55"/>
      <c r="X155" s="55"/>
      <c r="Y155" s="55"/>
    </row>
    <row r="156" spans="8:8" ht="15.0">
      <c r="O156" s="55"/>
      <c r="P156" s="55"/>
      <c r="Q156" s="55"/>
      <c r="R156" s="291" t="s">
        <v>80</v>
      </c>
      <c r="S156" s="55" t="e">
        <f>VLOOKUP(Q154,table,2,FALSE)</f>
        <v>#N/A</v>
      </c>
      <c r="T156" s="55">
        <f>E40</f>
        <v>2.0</v>
      </c>
      <c r="U156" s="55" t="e">
        <f>S156-T156</f>
        <v>#N/A</v>
      </c>
      <c r="V156" s="55" t="e">
        <f>U156+1</f>
        <v>#N/A</v>
      </c>
      <c r="W156" s="55"/>
      <c r="X156" s="55"/>
      <c r="Y156" s="55"/>
    </row>
    <row r="157" spans="8:8" ht="15.0">
      <c r="O157" s="55"/>
      <c r="P157" s="55"/>
      <c r="Q157" s="55"/>
      <c r="R157" s="291" t="s">
        <v>81</v>
      </c>
      <c r="S157" s="55" t="e">
        <f>VLOOKUP(Q154,table,3,FALSE)</f>
        <v>#N/A</v>
      </c>
      <c r="T157" s="55" t="e">
        <f>VLOOKUP(Data!S157,Sheet4!A3:C63,3,FALSE)</f>
        <v>#N/A</v>
      </c>
      <c r="U157" s="55"/>
      <c r="V157" s="55"/>
      <c r="W157" s="55"/>
      <c r="X157" s="55"/>
      <c r="Y157" s="55"/>
    </row>
    <row r="158" spans="8:8">
      <c r="O158" s="55"/>
      <c r="P158" s="55"/>
      <c r="Q158" s="55"/>
      <c r="R158" s="55" t="s">
        <v>82</v>
      </c>
      <c r="S158" s="55" t="e">
        <f>ROUND(S157*V156/S156,0)</f>
        <v>#N/A</v>
      </c>
      <c r="T158" s="55" t="e">
        <f>ROUND(T157*V156/S156,0)</f>
        <v>#N/A</v>
      </c>
      <c r="U158" s="55" t="e">
        <f>T158-S158</f>
        <v>#N/A</v>
      </c>
      <c r="V158" s="55"/>
      <c r="W158" s="55"/>
      <c r="X158" s="55"/>
      <c r="Y158" s="55"/>
    </row>
    <row r="159" spans="8:8">
      <c r="O159" s="55"/>
      <c r="P159" s="55"/>
      <c r="Q159" s="55"/>
      <c r="R159" s="55" t="s">
        <v>51</v>
      </c>
      <c r="S159" s="55" t="e">
        <f>ROUND(S158*(VLOOKUP(D40,MBDH,3,FALSE))%,0)</f>
        <v>#N/A</v>
      </c>
      <c r="T159" s="55" t="e">
        <f>ROUND(T158*(VLOOKUP(D40,MBDH,3,FALSE))%,0)</f>
        <v>#N/A</v>
      </c>
      <c r="U159" s="55" t="e">
        <f>T159-S159</f>
        <v>#N/A</v>
      </c>
      <c r="V159" s="55"/>
      <c r="W159" s="55"/>
      <c r="X159" s="55"/>
      <c r="Y159" s="55"/>
    </row>
    <row r="160" spans="8:8">
      <c r="O160" s="55"/>
      <c r="P160" s="55"/>
      <c r="Q160" s="55"/>
      <c r="R160" s="55" t="s">
        <v>52</v>
      </c>
      <c r="S160" s="55" t="e">
        <f>ROUND(S158*(VLOOKUP(D40,MBDH,4,FALSE))%,0)</f>
        <v>#N/A</v>
      </c>
      <c r="T160" s="55" t="e">
        <f>ROUND(T158*(VLOOKUP(D40,MBDH,4,FALSE))%,0)</f>
        <v>#N/A</v>
      </c>
      <c r="U160" s="55" t="e">
        <f>T160-S160</f>
        <v>#N/A</v>
      </c>
      <c r="V160" s="55" t="e">
        <f>SUM(U158:U160)</f>
        <v>#N/A</v>
      </c>
      <c r="W160" s="55"/>
      <c r="X160" s="55"/>
      <c r="Y160" s="55"/>
    </row>
    <row r="161" spans="8:8"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</row>
    <row r="162" spans="8:8"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</row>
    <row r="163" spans="8:8">
      <c r="O163" s="55"/>
      <c r="P163" s="55" t="s">
        <v>133</v>
      </c>
      <c r="Q163" s="55">
        <f>IF(D12="Rented house",1,2)</f>
        <v>1.0</v>
      </c>
      <c r="R163" s="55" t="str">
        <f>D12</f>
        <v>Rented house</v>
      </c>
      <c r="S163" s="55"/>
      <c r="T163" s="55"/>
      <c r="U163" s="55"/>
      <c r="V163" s="55"/>
      <c r="W163" s="55"/>
      <c r="X163" s="55"/>
      <c r="Y163" s="55"/>
    </row>
    <row r="164" spans="8:8">
      <c r="O164" s="55"/>
      <c r="P164" s="55"/>
      <c r="Q164" s="292">
        <f>IF(Q163=1,'ANNEXURE I'!E23,0)</f>
        <v>55013.0</v>
      </c>
      <c r="R164" s="292">
        <f>IF(Q163=1,S165,0)</f>
        <v>10000.0</v>
      </c>
      <c r="S164" s="292">
        <f>ROUND((S165*12-(('ANNEXURE I'!C23+'ANNEXURE I'!D23)*10%)),0)</f>
        <v>55823.0</v>
      </c>
      <c r="T164" s="292">
        <f>ROUND((('ANNEXURE I'!C23+'ANNEXURE I'!D23)*40%),0)</f>
        <v>256709.0</v>
      </c>
      <c r="U164" s="55"/>
      <c r="V164" s="55"/>
      <c r="W164" s="55"/>
      <c r="X164" s="55"/>
      <c r="Y164" s="55"/>
    </row>
    <row r="165" spans="8:8">
      <c r="O165" s="55"/>
      <c r="P165" s="55"/>
      <c r="Q165" s="292"/>
      <c r="R165" s="292" t="s">
        <v>134</v>
      </c>
      <c r="S165" s="293">
        <f>MROUND(('ANNEXURE I'!E23+500+(('ANNEXURE I'!C23+'ANNEXURE I'!D23)/10))/12,100)</f>
        <v>10000.0</v>
      </c>
      <c r="T165" s="292"/>
      <c r="U165" s="55"/>
      <c r="V165" s="55"/>
      <c r="W165" s="55"/>
      <c r="X165" s="55"/>
      <c r="Y165" s="55"/>
    </row>
    <row r="166" spans="8:8">
      <c r="O166" s="55"/>
      <c r="P166" s="55"/>
      <c r="Q166" s="292"/>
      <c r="R166" s="292">
        <f>M9</f>
        <v>7000.0</v>
      </c>
      <c r="S166" s="292">
        <f>ROUND((R166*12-(('ANNEXURE I'!C23+'ANNEXURE I'!D23)*10%)),0)</f>
        <v>19823.0</v>
      </c>
      <c r="T166" s="292"/>
      <c r="U166" s="55"/>
      <c r="V166" s="55"/>
      <c r="W166" s="55"/>
      <c r="X166" s="55"/>
      <c r="Y166" s="55"/>
    </row>
    <row r="167" spans="8:8">
      <c r="O167" s="55"/>
      <c r="P167" s="55"/>
      <c r="Q167" s="294"/>
      <c r="R167" s="294"/>
      <c r="S167" s="294"/>
      <c r="T167" s="294"/>
      <c r="U167" s="55"/>
      <c r="V167" s="55"/>
      <c r="W167" s="55"/>
      <c r="X167" s="55"/>
      <c r="Y167" s="55"/>
    </row>
    <row r="168" spans="8:8">
      <c r="O168" s="55"/>
      <c r="P168" s="55" t="s">
        <v>47</v>
      </c>
      <c r="Q168" s="295">
        <f>H59</f>
        <v>0.0</v>
      </c>
      <c r="R168" s="55"/>
      <c r="S168" s="55"/>
      <c r="T168" s="55"/>
      <c r="U168" s="55"/>
      <c r="V168" s="55"/>
      <c r="W168" s="55"/>
      <c r="X168" s="55"/>
      <c r="Y168" s="55"/>
    </row>
    <row r="169" spans="8:8">
      <c r="G169" s="55"/>
      <c r="H169" s="55"/>
      <c r="I169" s="55"/>
      <c r="J169" s="55"/>
      <c r="K169" s="55"/>
      <c r="L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</row>
    <row r="170" spans="8:8">
      <c r="G170" s="55" t="s">
        <v>409</v>
      </c>
      <c r="H170" s="296">
        <f>'ANNEXURE II'!L52</f>
        <v>649310.0</v>
      </c>
      <c r="I170" s="55"/>
      <c r="J170" s="55"/>
      <c r="K170" s="55"/>
      <c r="L170" s="55"/>
      <c r="O170" s="55"/>
      <c r="P170" s="55" t="s">
        <v>137</v>
      </c>
      <c r="Q170" s="55">
        <f>'ANNEXURE II'!L52</f>
        <v>649310.0</v>
      </c>
      <c r="R170" s="55"/>
      <c r="S170" s="55"/>
      <c r="T170" s="55"/>
      <c r="U170" s="55"/>
      <c r="V170" s="55"/>
      <c r="W170" s="55"/>
      <c r="X170" s="55"/>
      <c r="Y170" s="55"/>
    </row>
    <row r="171" spans="8:8">
      <c r="G171" s="297"/>
      <c r="H171" s="297"/>
      <c r="I171" s="297"/>
      <c r="J171" s="297"/>
      <c r="K171" s="297"/>
      <c r="L171" s="55"/>
      <c r="O171" s="55">
        <v>0.0</v>
      </c>
      <c r="P171" s="55">
        <v>250000.0</v>
      </c>
      <c r="Q171" s="55"/>
      <c r="R171" s="55"/>
      <c r="S171" s="55" t="str">
        <f>IF(Q170&lt;P171,"NIL","More")</f>
        <v>More</v>
      </c>
      <c r="T171" s="55"/>
      <c r="U171" s="55"/>
      <c r="V171" s="55"/>
      <c r="W171" s="55"/>
      <c r="X171" s="55"/>
      <c r="Y171" s="55"/>
    </row>
    <row r="172" spans="8:8" ht="15.75">
      <c r="G172" s="298" t="s">
        <v>410</v>
      </c>
      <c r="H172" s="299" t="s">
        <v>411</v>
      </c>
      <c r="I172" s="300">
        <f>IF(AND(H170&lt;=250000),0,250000)</f>
        <v>250000.0</v>
      </c>
      <c r="J172" s="301">
        <v>0.0</v>
      </c>
      <c r="K172" s="302">
        <f>ROUND(I172*J172,0)</f>
        <v>0.0</v>
      </c>
      <c r="L172" s="55"/>
      <c r="O172" s="303">
        <v>250000.0</v>
      </c>
      <c r="P172" s="55">
        <v>500000.0</v>
      </c>
      <c r="Q172" s="55"/>
      <c r="R172" s="55">
        <v>5.0</v>
      </c>
      <c r="S172" s="55">
        <f>Q170-O172</f>
        <v>399310.0</v>
      </c>
      <c r="T172" s="55" t="str">
        <f>IF(Q170&gt;250000,IF(Q170&lt;500000,ROUND((Q170-O172)*R172%,0),"-"),"-")</f>
        <v>-</v>
      </c>
      <c r="U172" s="304" t="str">
        <f>IF(T172="FALSE","-",T172)</f>
        <v>-</v>
      </c>
      <c r="V172" s="55"/>
      <c r="W172" s="55"/>
      <c r="X172" s="55"/>
      <c r="Y172" s="55"/>
    </row>
    <row r="173" spans="8:8" ht="15.75">
      <c r="G173" s="298" t="s">
        <v>412</v>
      </c>
      <c r="H173" s="299" t="s">
        <v>413</v>
      </c>
      <c r="I173" s="305">
        <f>IF(AND(H170&gt;250000,H170&lt;=500000),(H170-I172),IF(AND(H170&gt;500000),250000,0))</f>
        <v>250000.0</v>
      </c>
      <c r="J173" s="301">
        <v>0.05</v>
      </c>
      <c r="K173" s="302">
        <f>ROUND(I173*J173,0)</f>
        <v>12500.0</v>
      </c>
      <c r="L173" s="55"/>
      <c r="O173" s="303">
        <v>500000.0</v>
      </c>
      <c r="P173" s="55">
        <v>1000000.0</v>
      </c>
      <c r="Q173" s="55">
        <v>12500.0</v>
      </c>
      <c r="R173" s="55">
        <v>20.0</v>
      </c>
      <c r="S173" s="55"/>
      <c r="T173" s="55">
        <f>IF(Q170&gt;500000,IF(Q170&lt;1000000,(Q173+(Q170-O173)*R173%)),"-")</f>
        <v>42362.0</v>
      </c>
      <c r="U173" s="304">
        <f>IF(T173="FALSE","-",T173)</f>
        <v>42362.0</v>
      </c>
      <c r="V173" s="55"/>
      <c r="W173" s="55"/>
      <c r="X173" s="55"/>
      <c r="Y173" s="55"/>
    </row>
    <row r="174" spans="8:8" ht="15.75">
      <c r="G174" s="298" t="s">
        <v>414</v>
      </c>
      <c r="H174" s="299" t="s">
        <v>415</v>
      </c>
      <c r="I174" s="305">
        <f>IF(AND(H170&gt;=500000,H170&lt;1000000),H170-(I172+I173),IF(AND(H170&gt;1000000),500000,0))</f>
        <v>149310.0</v>
      </c>
      <c r="J174" s="301">
        <v>0.2</v>
      </c>
      <c r="K174" s="302">
        <f>ROUND(I174*J174,0)</f>
        <v>29862.0</v>
      </c>
      <c r="L174" s="55"/>
      <c r="O174" s="303">
        <v>1000000.0</v>
      </c>
      <c r="P174" s="55"/>
      <c r="Q174" s="55">
        <v>112500.0</v>
      </c>
      <c r="R174" s="55">
        <v>30.0</v>
      </c>
      <c r="S174" s="55"/>
      <c r="T174" s="55" t="str">
        <f>IF(Q170&gt;1000000,(Q174+(Q170-O174)*R174%),"-")</f>
        <v>-</v>
      </c>
      <c r="U174" s="304" t="str">
        <f>IF(T174="FALSE","-",T174)</f>
        <v>-</v>
      </c>
      <c r="V174" s="55"/>
      <c r="W174" s="55"/>
      <c r="X174" s="55"/>
      <c r="Y174" s="55"/>
    </row>
    <row r="175" spans="8:8" ht="15.75">
      <c r="G175" s="298" t="s">
        <v>416</v>
      </c>
      <c r="H175" s="299" t="s">
        <v>417</v>
      </c>
      <c r="I175" s="305">
        <f>IF(AND(H170&gt;1000001),(H170-1000000),0)</f>
        <v>0.0</v>
      </c>
      <c r="J175" s="301">
        <v>0.3</v>
      </c>
      <c r="K175" s="302">
        <f>ROUND(I175*J175,0)</f>
        <v>0.0</v>
      </c>
      <c r="L175" s="55"/>
      <c r="O175" s="55"/>
      <c r="P175" s="55"/>
      <c r="Q175" s="55"/>
      <c r="R175" s="55"/>
      <c r="S175" s="55">
        <f>SUM(S172:S174)</f>
        <v>399310.0</v>
      </c>
      <c r="T175" s="55"/>
      <c r="U175" s="55"/>
      <c r="V175" s="55"/>
      <c r="W175" s="55"/>
      <c r="X175" s="55"/>
      <c r="Y175" s="55"/>
    </row>
    <row r="176" spans="8:8">
      <c r="G176" s="297"/>
      <c r="H176" s="297"/>
      <c r="I176" s="297"/>
      <c r="J176" s="297"/>
      <c r="K176" s="297"/>
      <c r="L176" s="55"/>
      <c r="O176" s="55"/>
      <c r="P176" s="55"/>
      <c r="Q176" s="55"/>
      <c r="R176" s="55"/>
      <c r="S176" s="55">
        <f>'ANNEXURE II'!L59</f>
        <v>42362.0</v>
      </c>
      <c r="T176" s="55"/>
      <c r="U176" s="55"/>
      <c r="V176" s="55"/>
      <c r="W176" s="55"/>
      <c r="X176" s="55"/>
      <c r="Y176" s="55"/>
    </row>
    <row r="177" spans="8:8" ht="15.0">
      <c r="G177" s="55"/>
      <c r="H177" s="55"/>
      <c r="I177" s="55"/>
      <c r="J177" s="55"/>
      <c r="K177" s="55"/>
      <c r="L177" s="55"/>
      <c r="O177" s="55"/>
      <c r="P177" s="55"/>
      <c r="Q177" s="278" t="s">
        <v>233</v>
      </c>
      <c r="R177" s="55">
        <v>1.0</v>
      </c>
      <c r="S177" s="306">
        <f>ROUND(IF(S176="-","NIL",S176*1%),0)</f>
        <v>424.0</v>
      </c>
      <c r="T177" s="55"/>
      <c r="U177" s="55"/>
      <c r="V177" s="55"/>
      <c r="W177" s="55"/>
      <c r="X177" s="55"/>
      <c r="Y177" s="55"/>
    </row>
    <row r="178" spans="8:8" ht="15.0">
      <c r="O178" s="55"/>
      <c r="P178" s="55"/>
      <c r="Q178" s="55" t="s">
        <v>569</v>
      </c>
      <c r="R178" s="55">
        <v>2.0</v>
      </c>
      <c r="S178" s="306">
        <f>ROUND(IF(S176="-","NIL",S176*4%),0)</f>
        <v>1694.0</v>
      </c>
      <c r="T178" s="55"/>
      <c r="U178" s="55"/>
      <c r="V178" s="55"/>
      <c r="W178" s="55"/>
      <c r="X178" s="55"/>
      <c r="Y178" s="55"/>
    </row>
    <row r="179" spans="8:8"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</row>
    <row r="180" spans="8:8">
      <c r="O180" s="55"/>
      <c r="P180" s="55" t="s">
        <v>138</v>
      </c>
      <c r="Q180" s="55"/>
      <c r="R180" s="55">
        <f>SUM(H47:H55)</f>
        <v>0.0</v>
      </c>
      <c r="S180" s="55"/>
      <c r="T180" s="55"/>
      <c r="U180" s="55"/>
      <c r="V180" s="55"/>
      <c r="W180" s="55"/>
      <c r="X180" s="55"/>
      <c r="Y180" s="55"/>
    </row>
    <row r="181" spans="8:8"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</row>
    <row r="186" spans="8:8" ht="18.0">
      <c r="L186" s="307" t="s">
        <v>30</v>
      </c>
      <c r="M186" s="307" t="s">
        <v>69</v>
      </c>
      <c r="N186" s="307" t="s">
        <v>407</v>
      </c>
      <c r="O186" s="307" t="s">
        <v>406</v>
      </c>
      <c r="P186" s="307" t="s">
        <v>408</v>
      </c>
      <c r="Q186" s="307" t="s">
        <v>75</v>
      </c>
      <c r="R186" s="55"/>
      <c r="S186" s="307" t="s">
        <v>30</v>
      </c>
      <c r="T186" s="307" t="s">
        <v>69</v>
      </c>
      <c r="U186" s="307" t="s">
        <v>407</v>
      </c>
      <c r="V186" s="307" t="s">
        <v>406</v>
      </c>
      <c r="W186" s="307" t="s">
        <v>408</v>
      </c>
      <c r="X186" s="307" t="s">
        <v>76</v>
      </c>
      <c r="Y186" s="55"/>
      <c r="Z186" s="55"/>
    </row>
    <row r="187" spans="8:8" ht="15.0">
      <c r="L187" s="308" t="s">
        <v>17</v>
      </c>
      <c r="M187" s="55">
        <f>LOOKUP(M199,Sheet4!$A$3:$A$62,Sheet4!$B$3:$B$63)</f>
        <v>37100.0</v>
      </c>
      <c r="N187" s="309">
        <v>25.676</v>
      </c>
      <c r="O187" s="309">
        <v>27.248</v>
      </c>
      <c r="P187" s="309">
        <f>O187-N187</f>
        <v>1.5720000000000027</v>
      </c>
      <c r="Q187" s="55">
        <f>ROUND(M187*P187/100,0)</f>
        <v>583.0</v>
      </c>
      <c r="R187" s="55"/>
      <c r="S187" s="278"/>
      <c r="T187" s="278"/>
      <c r="U187" s="278"/>
      <c r="V187" s="278"/>
      <c r="W187" s="278"/>
      <c r="X187" s="278"/>
      <c r="Y187" s="55"/>
      <c r="Z187" s="55"/>
    </row>
    <row r="188" spans="8:8" ht="15.0">
      <c r="L188" s="308" t="s">
        <v>18</v>
      </c>
      <c r="M188" s="55">
        <f>LOOKUP(M200,Sheet4!$A$3:$A$62,Sheet4!$B$3:$B$63)</f>
        <v>37100.0</v>
      </c>
      <c r="N188" s="309">
        <v>25.676</v>
      </c>
      <c r="O188" s="309">
        <v>27.248</v>
      </c>
      <c r="P188" s="309">
        <f t="shared" si="18" ref="P188:P212">O188-N188</f>
        <v>1.5720000000000027</v>
      </c>
      <c r="Q188" s="55">
        <f t="shared" si="19" ref="Q188:Q212">ROUND(M188*P188/100,0)</f>
        <v>583.0</v>
      </c>
      <c r="R188" s="55"/>
      <c r="S188" s="278"/>
      <c r="T188" s="278"/>
      <c r="U188" s="278"/>
      <c r="V188" s="278"/>
      <c r="W188" s="278"/>
      <c r="X188" s="278"/>
      <c r="Y188" s="55"/>
      <c r="Z188" s="55"/>
    </row>
    <row r="189" spans="8:8" ht="15.0">
      <c r="L189" s="308" t="s">
        <v>544</v>
      </c>
      <c r="M189" s="55">
        <f>LOOKUP(M201,Sheet4!$A$3:$A$62,Sheet4!$B$3:$B$63)</f>
        <v>37100.0</v>
      </c>
      <c r="N189" s="309">
        <v>25.676</v>
      </c>
      <c r="O189" s="309">
        <v>27.248</v>
      </c>
      <c r="P189" s="309">
        <f t="shared" si="18"/>
        <v>1.5720000000000027</v>
      </c>
      <c r="Q189" s="55">
        <f t="shared" si="19"/>
        <v>583.0</v>
      </c>
      <c r="R189" s="55"/>
      <c r="S189" s="278"/>
      <c r="T189" s="278"/>
      <c r="U189" s="278"/>
      <c r="V189" s="278"/>
      <c r="W189" s="278"/>
      <c r="X189" s="278"/>
      <c r="Y189" s="55"/>
      <c r="Z189" s="55"/>
    </row>
    <row r="190" spans="8:8" ht="15.0">
      <c r="L190" s="308" t="s">
        <v>545</v>
      </c>
      <c r="M190" s="55">
        <f>LOOKUP(M202,Sheet4!$A$3:$A$62,Sheet4!$B$3:$B$63)</f>
        <v>37100.0</v>
      </c>
      <c r="N190" s="309">
        <v>25.676</v>
      </c>
      <c r="O190" s="309">
        <v>27.248</v>
      </c>
      <c r="P190" s="309">
        <f t="shared" si="18"/>
        <v>1.5720000000000027</v>
      </c>
      <c r="Q190" s="55">
        <f t="shared" si="19"/>
        <v>583.0</v>
      </c>
      <c r="R190" s="55"/>
      <c r="S190" s="278"/>
      <c r="T190" s="278"/>
      <c r="U190" s="278"/>
      <c r="V190" s="278"/>
      <c r="W190" s="278"/>
      <c r="X190" s="278"/>
      <c r="Y190" s="55"/>
      <c r="Z190" s="55"/>
    </row>
    <row r="191" spans="8:8" ht="15.0">
      <c r="L191" s="308" t="s">
        <v>546</v>
      </c>
      <c r="M191" s="55">
        <f>LOOKUP(M203,Sheet4!$A$3:$A$62,Sheet4!$B$3:$B$63)</f>
        <v>37100.0</v>
      </c>
      <c r="N191" s="309">
        <v>25.676</v>
      </c>
      <c r="O191" s="309">
        <v>27.248</v>
      </c>
      <c r="P191" s="309">
        <f t="shared" si="18"/>
        <v>1.5720000000000027</v>
      </c>
      <c r="Q191" s="55">
        <f t="shared" si="19"/>
        <v>583.0</v>
      </c>
      <c r="R191" s="55"/>
      <c r="S191" s="278"/>
      <c r="T191" s="278"/>
      <c r="U191" s="278"/>
      <c r="V191" s="278"/>
      <c r="W191" s="278"/>
      <c r="X191" s="278"/>
      <c r="Y191" s="55"/>
      <c r="Z191" s="55"/>
    </row>
    <row r="192" spans="8:8" ht="15.0">
      <c r="L192" s="308" t="s">
        <v>547</v>
      </c>
      <c r="M192" s="55">
        <f>LOOKUP(M204,Sheet4!$A$3:$A$62,Sheet4!$B$3:$B$63)</f>
        <v>37100.0</v>
      </c>
      <c r="N192" s="309">
        <v>25.676</v>
      </c>
      <c r="O192" s="309">
        <v>27.248</v>
      </c>
      <c r="P192" s="309">
        <f t="shared" si="18"/>
        <v>1.5720000000000027</v>
      </c>
      <c r="Q192" s="55">
        <f t="shared" si="19"/>
        <v>583.0</v>
      </c>
      <c r="R192" s="55"/>
      <c r="S192" s="278"/>
      <c r="T192" s="278"/>
      <c r="U192" s="278"/>
      <c r="V192" s="278"/>
      <c r="W192" s="278"/>
      <c r="X192" s="278"/>
      <c r="Y192" s="55"/>
      <c r="Z192" s="55"/>
    </row>
    <row r="193" spans="8:8">
      <c r="L193" s="308" t="s">
        <v>548</v>
      </c>
      <c r="M193" s="55">
        <f>LOOKUP(M205,Sheet4!$A$3:$A$62,Sheet4!$B$3:$B$63)</f>
        <v>37100.0</v>
      </c>
      <c r="N193" s="309">
        <v>25.676</v>
      </c>
      <c r="O193" s="309">
        <v>27.248</v>
      </c>
      <c r="P193" s="309">
        <f t="shared" si="18"/>
        <v>1.5720000000000027</v>
      </c>
      <c r="Q193" s="55">
        <f t="shared" si="19"/>
        <v>583.0</v>
      </c>
      <c r="R193" s="55"/>
      <c r="S193" s="308" t="s">
        <v>548</v>
      </c>
      <c r="T193" s="55">
        <f>LOOKUP(M205,Sheet4!$A$3:$A$62,Sheet4!$B$3:$B$63)</f>
        <v>37100.0</v>
      </c>
      <c r="U193" s="309">
        <v>25.676</v>
      </c>
      <c r="V193" s="310">
        <v>27.248</v>
      </c>
      <c r="W193" s="309">
        <f t="shared" si="20" ref="W193:W212">V193-U193</f>
        <v>1.5720000000000027</v>
      </c>
      <c r="X193" s="55">
        <f t="shared" si="21" ref="X193:X212">ROUND(T193*W193/100,0)</f>
        <v>583.0</v>
      </c>
      <c r="Y193" s="55"/>
      <c r="Z193" s="55"/>
    </row>
    <row r="194" spans="8:8">
      <c r="L194" s="308" t="s">
        <v>549</v>
      </c>
      <c r="M194" s="55">
        <f>LOOKUP(M206,Sheet4!$A$3:$A$62,Sheet4!$B$3:$B$63)</f>
        <v>37100.0</v>
      </c>
      <c r="N194" s="309">
        <v>25.676</v>
      </c>
      <c r="O194" s="309">
        <v>27.248</v>
      </c>
      <c r="P194" s="309">
        <f t="shared" si="18"/>
        <v>1.5720000000000027</v>
      </c>
      <c r="Q194" s="55">
        <f t="shared" si="19"/>
        <v>583.0</v>
      </c>
      <c r="R194" s="55"/>
      <c r="S194" s="308" t="s">
        <v>549</v>
      </c>
      <c r="T194" s="55">
        <f>LOOKUP(M206,Sheet4!$A$3:$A$62,Sheet4!$B$3:$B$63)</f>
        <v>37100.0</v>
      </c>
      <c r="U194" s="309">
        <v>25.676</v>
      </c>
      <c r="V194" s="310">
        <v>27.248</v>
      </c>
      <c r="W194" s="309">
        <f t="shared" si="20"/>
        <v>1.5720000000000027</v>
      </c>
      <c r="X194" s="55">
        <f t="shared" si="21"/>
        <v>583.0</v>
      </c>
      <c r="Y194" s="55"/>
      <c r="Z194" s="55"/>
    </row>
    <row r="195" spans="8:8">
      <c r="L195" s="308" t="s">
        <v>550</v>
      </c>
      <c r="M195" s="55">
        <f>LOOKUP(M207,Sheet4!$A$3:$A$62,Sheet4!$B$3:$B$63)</f>
        <v>37100.0</v>
      </c>
      <c r="N195" s="309">
        <v>25.676</v>
      </c>
      <c r="O195" s="309">
        <v>27.248</v>
      </c>
      <c r="P195" s="309">
        <f t="shared" si="18"/>
        <v>1.5720000000000027</v>
      </c>
      <c r="Q195" s="55">
        <f t="shared" si="19"/>
        <v>583.0</v>
      </c>
      <c r="R195" s="55"/>
      <c r="S195" s="308" t="s">
        <v>550</v>
      </c>
      <c r="T195" s="55">
        <f>LOOKUP(M207,Sheet4!$A$3:$A$62,Sheet4!$B$3:$B$63)</f>
        <v>37100.0</v>
      </c>
      <c r="U195" s="309">
        <v>25.676</v>
      </c>
      <c r="V195" s="310">
        <v>27.248</v>
      </c>
      <c r="W195" s="309">
        <f t="shared" si="20"/>
        <v>1.5720000000000027</v>
      </c>
      <c r="X195" s="55">
        <f t="shared" si="21"/>
        <v>583.0</v>
      </c>
      <c r="Y195" s="55"/>
      <c r="Z195" s="55"/>
    </row>
    <row r="196" spans="8:8">
      <c r="L196" s="308" t="s">
        <v>551</v>
      </c>
      <c r="M196" s="55">
        <f>LOOKUP(M208,Sheet4!$A$3:$A$62,Sheet4!$B$3:$B$63)</f>
        <v>38130.0</v>
      </c>
      <c r="N196" s="309">
        <v>25.676</v>
      </c>
      <c r="O196" s="309">
        <v>27.248</v>
      </c>
      <c r="P196" s="309">
        <f t="shared" si="18"/>
        <v>1.5720000000000027</v>
      </c>
      <c r="Q196" s="55">
        <f t="shared" si="19"/>
        <v>599.0</v>
      </c>
      <c r="R196" s="55"/>
      <c r="S196" s="308" t="s">
        <v>551</v>
      </c>
      <c r="T196" s="55">
        <f>LOOKUP(M208,Sheet4!$A$3:$A$62,Sheet4!$B$3:$B$63)</f>
        <v>38130.0</v>
      </c>
      <c r="U196" s="309">
        <v>25.676</v>
      </c>
      <c r="V196" s="310">
        <v>27.248</v>
      </c>
      <c r="W196" s="309">
        <f t="shared" si="20"/>
        <v>1.5720000000000027</v>
      </c>
      <c r="X196" s="55">
        <f t="shared" si="21"/>
        <v>599.0</v>
      </c>
      <c r="Y196" s="55"/>
      <c r="Z196" s="55"/>
    </row>
    <row r="197" spans="8:8">
      <c r="L197" s="308" t="s">
        <v>552</v>
      </c>
      <c r="M197" s="55">
        <f>LOOKUP(M209,Sheet4!$A$3:$A$62,Sheet4!$B$3:$B$63)</f>
        <v>38130.0</v>
      </c>
      <c r="N197" s="309">
        <v>25.676</v>
      </c>
      <c r="O197" s="309">
        <v>27.248</v>
      </c>
      <c r="P197" s="309">
        <f t="shared" si="18"/>
        <v>1.5720000000000027</v>
      </c>
      <c r="Q197" s="55">
        <f t="shared" si="19"/>
        <v>599.0</v>
      </c>
      <c r="R197" s="55"/>
      <c r="S197" s="308" t="s">
        <v>552</v>
      </c>
      <c r="T197" s="55">
        <f>LOOKUP(M209,Sheet4!$A$3:$A$62,Sheet4!$B$3:$B$63)</f>
        <v>38130.0</v>
      </c>
      <c r="U197" s="309">
        <v>25.676</v>
      </c>
      <c r="V197" s="310">
        <v>27.248</v>
      </c>
      <c r="W197" s="309">
        <f t="shared" si="20"/>
        <v>1.5720000000000027</v>
      </c>
      <c r="X197" s="55">
        <f t="shared" si="21"/>
        <v>599.0</v>
      </c>
      <c r="Y197" s="55"/>
      <c r="Z197" s="55"/>
    </row>
    <row r="198" spans="8:8">
      <c r="L198" s="308" t="s">
        <v>553</v>
      </c>
      <c r="M198" s="55">
        <f>LOOKUP(M210,Sheet4!$A$3:$A$62,Sheet4!$B$3:$B$63)</f>
        <v>38130.0</v>
      </c>
      <c r="N198" s="309">
        <v>25.676</v>
      </c>
      <c r="O198" s="309">
        <v>27.248</v>
      </c>
      <c r="P198" s="309">
        <f t="shared" si="18"/>
        <v>1.5720000000000027</v>
      </c>
      <c r="Q198" s="55">
        <f t="shared" si="19"/>
        <v>599.0</v>
      </c>
      <c r="R198" s="55"/>
      <c r="S198" s="308" t="s">
        <v>553</v>
      </c>
      <c r="T198" s="55">
        <f>LOOKUP(M210,Sheet4!$A$3:$A$62,Sheet4!$B$3:$B$63)</f>
        <v>38130.0</v>
      </c>
      <c r="U198" s="309">
        <v>25.676</v>
      </c>
      <c r="V198" s="310">
        <v>27.248</v>
      </c>
      <c r="W198" s="309">
        <f t="shared" si="20"/>
        <v>1.5720000000000027</v>
      </c>
      <c r="X198" s="55">
        <f t="shared" si="21"/>
        <v>599.0</v>
      </c>
      <c r="Y198" s="55"/>
      <c r="Z198" s="55"/>
    </row>
    <row r="199" spans="8:8">
      <c r="L199" s="311" t="str">
        <f>J21</f>
        <v>JAN21</v>
      </c>
      <c r="M199" s="55">
        <f t="shared" si="22" ref="M199:M212">O101</f>
        <v>38130.0</v>
      </c>
      <c r="N199" s="309">
        <v>25.676</v>
      </c>
      <c r="O199" s="309">
        <v>27.248</v>
      </c>
      <c r="P199" s="309">
        <f t="shared" si="18"/>
        <v>1.5720000000000027</v>
      </c>
      <c r="Q199" s="55">
        <f t="shared" si="19"/>
        <v>599.0</v>
      </c>
      <c r="R199" s="55"/>
      <c r="S199" s="311" t="str">
        <f>Sheet4!G3</f>
        <v>JAN21</v>
      </c>
      <c r="T199" s="55">
        <f t="shared" si="23" ref="T199:T212">O101</f>
        <v>38130.0</v>
      </c>
      <c r="U199" s="309">
        <v>25.676</v>
      </c>
      <c r="V199" s="310">
        <v>27.248</v>
      </c>
      <c r="W199" s="309">
        <f t="shared" si="20"/>
        <v>1.5720000000000027</v>
      </c>
      <c r="X199" s="55">
        <f t="shared" si="21"/>
        <v>599.0</v>
      </c>
      <c r="Y199" s="55"/>
      <c r="Z199" s="55"/>
    </row>
    <row r="200" spans="8:8">
      <c r="L200" s="311" t="str">
        <f t="shared" si="24" ref="L200:L212">J22</f>
        <v>FEB21</v>
      </c>
      <c r="M200" s="55">
        <f t="shared" si="22"/>
        <v>38130.0</v>
      </c>
      <c r="N200" s="309">
        <v>25.676</v>
      </c>
      <c r="O200" s="309">
        <v>27.248</v>
      </c>
      <c r="P200" s="309">
        <f t="shared" si="18"/>
        <v>1.5720000000000027</v>
      </c>
      <c r="Q200" s="55">
        <f t="shared" si="19"/>
        <v>599.0</v>
      </c>
      <c r="R200" s="55">
        <f>SUM(Q186:Q200)</f>
        <v>8242.0</v>
      </c>
      <c r="S200" s="311" t="str">
        <f>Sheet4!G4</f>
        <v>FEB21</v>
      </c>
      <c r="T200" s="55">
        <f t="shared" si="23"/>
        <v>38130.0</v>
      </c>
      <c r="U200" s="309">
        <v>25.676</v>
      </c>
      <c r="V200" s="310">
        <v>27.248</v>
      </c>
      <c r="W200" s="309">
        <f t="shared" si="20"/>
        <v>1.5720000000000027</v>
      </c>
      <c r="X200" s="55">
        <f t="shared" si="21"/>
        <v>599.0</v>
      </c>
      <c r="Y200" s="55"/>
      <c r="Z200" s="55"/>
    </row>
    <row r="201" spans="8:8">
      <c r="L201" s="311" t="str">
        <f t="shared" si="24"/>
        <v>MAR21</v>
      </c>
      <c r="M201" s="55">
        <f t="shared" si="22"/>
        <v>38130.0</v>
      </c>
      <c r="N201" s="309">
        <v>25.676</v>
      </c>
      <c r="O201" s="309">
        <v>27.248</v>
      </c>
      <c r="P201" s="309">
        <f t="shared" si="18"/>
        <v>1.5720000000000027</v>
      </c>
      <c r="Q201" s="55">
        <f t="shared" si="19"/>
        <v>599.0</v>
      </c>
      <c r="R201" s="55">
        <f>SUM(Q187:Q201)</f>
        <v>8841.0</v>
      </c>
      <c r="S201" s="311" t="str">
        <f>Sheet4!G5</f>
        <v>MAR21</v>
      </c>
      <c r="T201" s="55">
        <f t="shared" si="23"/>
        <v>38130.0</v>
      </c>
      <c r="U201" s="309">
        <v>25.676</v>
      </c>
      <c r="V201" s="310">
        <v>27.248</v>
      </c>
      <c r="W201" s="309">
        <f t="shared" si="20"/>
        <v>1.5720000000000027</v>
      </c>
      <c r="X201" s="55">
        <f t="shared" si="21"/>
        <v>599.0</v>
      </c>
      <c r="Y201" s="55"/>
      <c r="Z201" s="55"/>
    </row>
    <row r="202" spans="8:8">
      <c r="L202" s="311" t="str">
        <f t="shared" si="24"/>
        <v>APR21</v>
      </c>
      <c r="M202" s="55">
        <f t="shared" si="22"/>
        <v>38130.0</v>
      </c>
      <c r="N202" s="309">
        <v>25.676</v>
      </c>
      <c r="O202" s="309">
        <v>27.248</v>
      </c>
      <c r="P202" s="309">
        <f t="shared" si="18"/>
        <v>1.5720000000000027</v>
      </c>
      <c r="Q202" s="55">
        <f t="shared" si="19"/>
        <v>599.0</v>
      </c>
      <c r="R202" s="55">
        <f>R201+Q202</f>
        <v>9440.0</v>
      </c>
      <c r="S202" s="311" t="str">
        <f>Sheet4!G6</f>
        <v>APR21</v>
      </c>
      <c r="T202" s="55">
        <f t="shared" si="23"/>
        <v>38130.0</v>
      </c>
      <c r="U202" s="309">
        <v>25.676</v>
      </c>
      <c r="V202" s="310">
        <v>27.248</v>
      </c>
      <c r="W202" s="309">
        <f t="shared" si="20"/>
        <v>1.5720000000000027</v>
      </c>
      <c r="X202" s="55">
        <f t="shared" si="21"/>
        <v>599.0</v>
      </c>
      <c r="Y202" s="55"/>
      <c r="Z202" s="55"/>
    </row>
    <row r="203" spans="8:8">
      <c r="L203" s="311" t="str">
        <f t="shared" si="24"/>
        <v>MAY21</v>
      </c>
      <c r="M203" s="55">
        <f t="shared" si="22"/>
        <v>38130.0</v>
      </c>
      <c r="N203" s="309">
        <v>25.676</v>
      </c>
      <c r="O203" s="309">
        <v>27.248</v>
      </c>
      <c r="P203" s="309">
        <f t="shared" si="18"/>
        <v>1.5720000000000027</v>
      </c>
      <c r="Q203" s="55">
        <f t="shared" si="19"/>
        <v>599.0</v>
      </c>
      <c r="R203" s="55">
        <f t="shared" si="25" ref="R203:R212">R202+Q203</f>
        <v>10039.0</v>
      </c>
      <c r="S203" s="311" t="str">
        <f>Sheet4!G7</f>
        <v>MAY21</v>
      </c>
      <c r="T203" s="55">
        <f t="shared" si="23"/>
        <v>38130.0</v>
      </c>
      <c r="U203" s="309">
        <v>25.676</v>
      </c>
      <c r="V203" s="310">
        <v>27.248</v>
      </c>
      <c r="W203" s="309">
        <f t="shared" si="20"/>
        <v>1.5720000000000027</v>
      </c>
      <c r="X203" s="55">
        <f t="shared" si="21"/>
        <v>599.0</v>
      </c>
      <c r="Y203" s="55"/>
      <c r="Z203" s="55"/>
    </row>
    <row r="204" spans="8:8">
      <c r="L204" s="311" t="str">
        <f t="shared" si="24"/>
        <v>JUN21</v>
      </c>
      <c r="M204" s="55">
        <f t="shared" si="22"/>
        <v>38130.0</v>
      </c>
      <c r="N204" s="309">
        <v>25.676</v>
      </c>
      <c r="O204" s="309">
        <v>27.248</v>
      </c>
      <c r="P204" s="309">
        <f t="shared" si="18"/>
        <v>1.5720000000000027</v>
      </c>
      <c r="Q204" s="55">
        <f t="shared" si="19"/>
        <v>599.0</v>
      </c>
      <c r="R204" s="55">
        <f t="shared" si="25"/>
        <v>10638.0</v>
      </c>
      <c r="S204" s="311" t="str">
        <f>Sheet4!G8</f>
        <v>JUN21</v>
      </c>
      <c r="T204" s="55">
        <f t="shared" si="23"/>
        <v>38130.0</v>
      </c>
      <c r="U204" s="309">
        <v>25.676</v>
      </c>
      <c r="V204" s="310">
        <v>27.248</v>
      </c>
      <c r="W204" s="309">
        <f t="shared" si="20"/>
        <v>1.5720000000000027</v>
      </c>
      <c r="X204" s="55">
        <f t="shared" si="21"/>
        <v>599.0</v>
      </c>
      <c r="Y204" s="55"/>
      <c r="Z204" s="55"/>
    </row>
    <row r="205" spans="8:8">
      <c r="L205" s="311" t="str">
        <f t="shared" si="24"/>
        <v>JUL21</v>
      </c>
      <c r="M205" s="55">
        <f t="shared" si="22"/>
        <v>38130.0</v>
      </c>
      <c r="N205" s="309">
        <v>25.676</v>
      </c>
      <c r="O205" s="309">
        <v>27.248</v>
      </c>
      <c r="P205" s="309">
        <f t="shared" si="18"/>
        <v>1.5720000000000027</v>
      </c>
      <c r="Q205" s="55">
        <f t="shared" si="19"/>
        <v>599.0</v>
      </c>
      <c r="R205" s="55">
        <f t="shared" si="25"/>
        <v>11237.0</v>
      </c>
      <c r="S205" s="311" t="str">
        <f>Sheet4!G9</f>
        <v>JUL21</v>
      </c>
      <c r="T205" s="55">
        <f t="shared" si="23"/>
        <v>38130.0</v>
      </c>
      <c r="U205" s="309">
        <v>25.676</v>
      </c>
      <c r="V205" s="310">
        <v>27.248</v>
      </c>
      <c r="W205" s="309">
        <f t="shared" si="20"/>
        <v>1.5720000000000027</v>
      </c>
      <c r="X205" s="55">
        <f t="shared" si="21"/>
        <v>599.0</v>
      </c>
      <c r="Y205" s="55"/>
      <c r="Z205" s="55"/>
    </row>
    <row r="206" spans="8:8">
      <c r="L206" s="311" t="str">
        <f t="shared" si="24"/>
        <v>AUG21</v>
      </c>
      <c r="M206" s="55">
        <f t="shared" si="22"/>
        <v>38130.0</v>
      </c>
      <c r="N206" s="309">
        <v>25.676</v>
      </c>
      <c r="O206" s="309">
        <v>27.248</v>
      </c>
      <c r="P206" s="309">
        <f t="shared" si="18"/>
        <v>1.5720000000000027</v>
      </c>
      <c r="Q206" s="55">
        <f t="shared" si="19"/>
        <v>599.0</v>
      </c>
      <c r="R206" s="55">
        <f t="shared" si="25"/>
        <v>11836.0</v>
      </c>
      <c r="S206" s="311" t="str">
        <f>Sheet4!G10</f>
        <v>AUG21</v>
      </c>
      <c r="T206" s="55">
        <f t="shared" si="23"/>
        <v>38130.0</v>
      </c>
      <c r="U206" s="309">
        <v>25.676</v>
      </c>
      <c r="V206" s="310">
        <v>27.248</v>
      </c>
      <c r="W206" s="309">
        <f t="shared" si="20"/>
        <v>1.5720000000000027</v>
      </c>
      <c r="X206" s="55">
        <f t="shared" si="21"/>
        <v>599.0</v>
      </c>
      <c r="Y206" s="55">
        <f>SUM(X192:X206)</f>
        <v>8338.0</v>
      </c>
      <c r="Z206" s="55"/>
    </row>
    <row r="207" spans="8:8">
      <c r="L207" s="311" t="str">
        <f t="shared" si="24"/>
        <v>SEP21</v>
      </c>
      <c r="M207" s="55">
        <f t="shared" si="22"/>
        <v>38130.0</v>
      </c>
      <c r="N207" s="309">
        <v>25.676</v>
      </c>
      <c r="O207" s="309">
        <v>27.248</v>
      </c>
      <c r="P207" s="309">
        <f t="shared" si="18"/>
        <v>1.5720000000000027</v>
      </c>
      <c r="Q207" s="55">
        <f t="shared" si="19"/>
        <v>599.0</v>
      </c>
      <c r="R207" s="55">
        <f t="shared" si="25"/>
        <v>12435.0</v>
      </c>
      <c r="S207" s="311" t="str">
        <f>Sheet4!G11</f>
        <v>SEP21</v>
      </c>
      <c r="T207" s="55">
        <f t="shared" si="23"/>
        <v>38130.0</v>
      </c>
      <c r="U207" s="309">
        <v>25.676</v>
      </c>
      <c r="V207" s="310">
        <v>27.248</v>
      </c>
      <c r="W207" s="309">
        <f t="shared" si="20"/>
        <v>1.5720000000000027</v>
      </c>
      <c r="X207" s="55">
        <f t="shared" si="21"/>
        <v>599.0</v>
      </c>
      <c r="Y207" s="55">
        <f>SUM(X193:X207)</f>
        <v>8937.0</v>
      </c>
      <c r="Z207" s="55"/>
    </row>
    <row r="208" spans="8:8">
      <c r="L208" s="311" t="str">
        <f t="shared" si="24"/>
        <v>OCT21</v>
      </c>
      <c r="M208" s="55">
        <f t="shared" si="22"/>
        <v>39160.0</v>
      </c>
      <c r="N208" s="309">
        <v>25.676</v>
      </c>
      <c r="O208" s="309">
        <v>27.248</v>
      </c>
      <c r="P208" s="309">
        <f t="shared" si="18"/>
        <v>1.5720000000000027</v>
      </c>
      <c r="Q208" s="55">
        <f t="shared" si="19"/>
        <v>616.0</v>
      </c>
      <c r="R208" s="55">
        <f t="shared" si="25"/>
        <v>13051.0</v>
      </c>
      <c r="S208" s="311" t="str">
        <f>Sheet4!G12</f>
        <v>OCT21</v>
      </c>
      <c r="T208" s="55">
        <f t="shared" si="23"/>
        <v>39160.0</v>
      </c>
      <c r="U208" s="309">
        <v>25.676</v>
      </c>
      <c r="V208" s="310">
        <v>27.248</v>
      </c>
      <c r="W208" s="309">
        <f t="shared" si="20"/>
        <v>1.5720000000000027</v>
      </c>
      <c r="X208" s="55">
        <f t="shared" si="21"/>
        <v>616.0</v>
      </c>
      <c r="Y208" s="55">
        <f>Y207+X208</f>
        <v>9553.0</v>
      </c>
      <c r="Z208" s="55"/>
    </row>
    <row r="209" spans="8:8">
      <c r="L209" s="311" t="str">
        <f t="shared" si="24"/>
        <v>NOV21</v>
      </c>
      <c r="M209" s="55">
        <f t="shared" si="22"/>
        <v>39160.0</v>
      </c>
      <c r="N209" s="309">
        <v>25.676</v>
      </c>
      <c r="O209" s="309">
        <v>27.248</v>
      </c>
      <c r="P209" s="309">
        <f t="shared" si="18"/>
        <v>1.5720000000000027</v>
      </c>
      <c r="Q209" s="55">
        <f t="shared" si="19"/>
        <v>616.0</v>
      </c>
      <c r="R209" s="55">
        <f t="shared" si="25"/>
        <v>13667.0</v>
      </c>
      <c r="S209" s="311" t="str">
        <f>Sheet4!G13</f>
        <v>NOV21</v>
      </c>
      <c r="T209" s="55">
        <f t="shared" si="23"/>
        <v>39160.0</v>
      </c>
      <c r="U209" s="309">
        <v>25.676</v>
      </c>
      <c r="V209" s="310">
        <v>27.248</v>
      </c>
      <c r="W209" s="309">
        <f t="shared" si="20"/>
        <v>1.5720000000000027</v>
      </c>
      <c r="X209" s="55">
        <f t="shared" si="21"/>
        <v>616.0</v>
      </c>
      <c r="Y209" s="55">
        <f t="shared" si="26" ref="Y209:Y212">Y208+X209</f>
        <v>10169.0</v>
      </c>
      <c r="Z209" s="55"/>
    </row>
    <row r="210" spans="8:8">
      <c r="L210" s="311" t="str">
        <f t="shared" si="24"/>
        <v>DEC21</v>
      </c>
      <c r="M210" s="55">
        <f t="shared" si="22"/>
        <v>39160.0</v>
      </c>
      <c r="N210" s="309">
        <v>25.676</v>
      </c>
      <c r="O210" s="309">
        <v>27.248</v>
      </c>
      <c r="P210" s="309">
        <f t="shared" si="18"/>
        <v>1.5720000000000027</v>
      </c>
      <c r="Q210" s="55">
        <f t="shared" si="19"/>
        <v>616.0</v>
      </c>
      <c r="R210" s="55">
        <f t="shared" si="25"/>
        <v>14283.0</v>
      </c>
      <c r="S210" s="311" t="str">
        <f>Sheet4!G14</f>
        <v>DEC21</v>
      </c>
      <c r="T210" s="55">
        <f t="shared" si="23"/>
        <v>39160.0</v>
      </c>
      <c r="U210" s="309">
        <v>25.676</v>
      </c>
      <c r="V210" s="310">
        <v>27.248</v>
      </c>
      <c r="W210" s="309">
        <f t="shared" si="20"/>
        <v>1.5720000000000027</v>
      </c>
      <c r="X210" s="55">
        <f t="shared" si="21"/>
        <v>616.0</v>
      </c>
      <c r="Y210" s="55">
        <f t="shared" si="26"/>
        <v>10785.0</v>
      </c>
      <c r="Z210" s="55"/>
    </row>
    <row r="211" spans="8:8">
      <c r="L211" s="311" t="str">
        <f t="shared" si="24"/>
        <v>JAN22</v>
      </c>
      <c r="M211" s="55">
        <f t="shared" si="22"/>
        <v>55520.0</v>
      </c>
      <c r="N211" s="309">
        <v>25.676</v>
      </c>
      <c r="O211" s="309">
        <v>27.248</v>
      </c>
      <c r="P211" s="309">
        <f t="shared" si="18"/>
        <v>1.5720000000000027</v>
      </c>
      <c r="Q211" s="55">
        <f t="shared" si="19"/>
        <v>873.0</v>
      </c>
      <c r="R211" s="55">
        <f t="shared" si="25"/>
        <v>15156.0</v>
      </c>
      <c r="S211" s="311" t="str">
        <f>Sheet4!G15</f>
        <v>JAN22</v>
      </c>
      <c r="T211" s="55">
        <f t="shared" si="23"/>
        <v>55520.0</v>
      </c>
      <c r="U211" s="309">
        <v>25.676</v>
      </c>
      <c r="V211" s="310">
        <v>27.248</v>
      </c>
      <c r="W211" s="309">
        <f t="shared" si="20"/>
        <v>1.5720000000000027</v>
      </c>
      <c r="X211" s="55">
        <f t="shared" si="21"/>
        <v>873.0</v>
      </c>
      <c r="Y211" s="55">
        <f t="shared" si="26"/>
        <v>11658.0</v>
      </c>
      <c r="Z211" s="55"/>
    </row>
    <row r="212" spans="8:8">
      <c r="L212" s="311" t="str">
        <f t="shared" si="24"/>
        <v>FEB22</v>
      </c>
      <c r="M212" s="55">
        <f t="shared" si="22"/>
        <v>55520.0</v>
      </c>
      <c r="N212" s="309">
        <v>25.676</v>
      </c>
      <c r="O212" s="309">
        <v>27.248</v>
      </c>
      <c r="P212" s="309">
        <f t="shared" si="18"/>
        <v>1.5720000000000027</v>
      </c>
      <c r="Q212" s="55">
        <f t="shared" si="19"/>
        <v>873.0</v>
      </c>
      <c r="R212" s="55">
        <f t="shared" si="25"/>
        <v>16029.0</v>
      </c>
      <c r="S212" s="311" t="str">
        <f>Sheet4!G16</f>
        <v>FEB22</v>
      </c>
      <c r="T212" s="55">
        <f t="shared" si="23"/>
        <v>55520.0</v>
      </c>
      <c r="U212" s="309">
        <v>25.676</v>
      </c>
      <c r="V212" s="310">
        <v>27.248</v>
      </c>
      <c r="W212" s="309">
        <f t="shared" si="20"/>
        <v>1.5720000000000027</v>
      </c>
      <c r="X212" s="55">
        <f t="shared" si="21"/>
        <v>873.0</v>
      </c>
      <c r="Y212" s="55">
        <f t="shared" si="26"/>
        <v>12531.0</v>
      </c>
      <c r="Z212" s="55"/>
    </row>
  </sheetData>
  <sheetProtection algorithmName="SHA-512" hashValue="SRSUxtP/0D8OMjfvpN9t0lQtkbuKTo8cVExVTfTOjFG5DoJ+r2pXytQrbflRrLB5xbMuUul1P0OgcuGpqUKwIg==" saltValue="zT5qAcLgtBFa8knQ4KMv6w==" spinCount="100000" sheet="1" selectLockedCells="1"/>
  <protectedRanges>
    <protectedRange sqref="O131 N120:R123 Q124:R133 N124:P130 N132:P133 U134 S120:X133" name="Range1"/>
  </protectedRanges>
  <mergeCells count="164">
    <mergeCell ref="O121:Q121"/>
    <mergeCell ref="U154:U155"/>
    <mergeCell ref="N132:Q132"/>
    <mergeCell ref="O126:S126"/>
    <mergeCell ref="O127:S127"/>
    <mergeCell ref="O125:T125"/>
    <mergeCell ref="AA146:AA147"/>
    <mergeCell ref="G25:H25"/>
    <mergeCell ref="B49:C49"/>
    <mergeCell ref="E64:F64"/>
    <mergeCell ref="K49:L49"/>
    <mergeCell ref="G67:H67"/>
    <mergeCell ref="AB146:AB147"/>
    <mergeCell ref="O122:P122"/>
    <mergeCell ref="T154:T155"/>
    <mergeCell ref="AC146:AC147"/>
    <mergeCell ref="B72:C72"/>
    <mergeCell ref="E52:F52"/>
    <mergeCell ref="K64:L64"/>
    <mergeCell ref="E71:F71"/>
    <mergeCell ref="B73:C73"/>
    <mergeCell ref="U146:U147"/>
    <mergeCell ref="I63:J63"/>
    <mergeCell ref="C18:E18"/>
    <mergeCell ref="E70:F70"/>
    <mergeCell ref="G15:H15"/>
    <mergeCell ref="B5:C5"/>
    <mergeCell ref="D6:H6"/>
    <mergeCell ref="K50:L50"/>
    <mergeCell ref="G66:H66"/>
    <mergeCell ref="I47:J47"/>
    <mergeCell ref="E67:F67"/>
    <mergeCell ref="B60:D60"/>
    <mergeCell ref="K63:L63"/>
    <mergeCell ref="B46:E46"/>
    <mergeCell ref="K47:L47"/>
    <mergeCell ref="B69:C69"/>
    <mergeCell ref="K52:L52"/>
    <mergeCell ref="B68:C68"/>
    <mergeCell ref="B61:B62"/>
    <mergeCell ref="E63:F63"/>
    <mergeCell ref="E50:F50"/>
    <mergeCell ref="B30:C30"/>
    <mergeCell ref="E74:F74"/>
    <mergeCell ref="K51:L51"/>
    <mergeCell ref="N120:T120"/>
    <mergeCell ref="S146:S147"/>
    <mergeCell ref="T146:T147"/>
    <mergeCell ref="B55:C55"/>
    <mergeCell ref="G12:H12"/>
    <mergeCell ref="B6:C6"/>
    <mergeCell ref="B21:C21"/>
    <mergeCell ref="B47:C47"/>
    <mergeCell ref="B3:E3"/>
    <mergeCell ref="K48:L48"/>
    <mergeCell ref="G69:H69"/>
    <mergeCell ref="D11:H11"/>
    <mergeCell ref="M49:O49"/>
    <mergeCell ref="D8:H8"/>
    <mergeCell ref="J7:N7"/>
    <mergeCell ref="E72:F72"/>
    <mergeCell ref="D75:F75"/>
    <mergeCell ref="N133:T133"/>
    <mergeCell ref="M8:N8"/>
    <mergeCell ref="B36:C36"/>
    <mergeCell ref="J3:N4"/>
    <mergeCell ref="B35:C35"/>
    <mergeCell ref="B1:N2"/>
    <mergeCell ref="G71:H71"/>
    <mergeCell ref="D13:H13"/>
    <mergeCell ref="E69:F69"/>
    <mergeCell ref="E66:F66"/>
    <mergeCell ref="F33:F41"/>
    <mergeCell ref="G65:H65"/>
    <mergeCell ref="G72:H72"/>
    <mergeCell ref="S154:S155"/>
    <mergeCell ref="G44:N45"/>
    <mergeCell ref="G7:H7"/>
    <mergeCell ref="B20:E20"/>
    <mergeCell ref="J5:N6"/>
    <mergeCell ref="B22:C22"/>
    <mergeCell ref="G70:H70"/>
    <mergeCell ref="E73:F73"/>
    <mergeCell ref="D4:H4"/>
    <mergeCell ref="E51:F51"/>
    <mergeCell ref="B13:C13"/>
    <mergeCell ref="B48:C48"/>
    <mergeCell ref="D10:H10"/>
    <mergeCell ref="E53:F53"/>
    <mergeCell ref="C16:E16"/>
    <mergeCell ref="B27:C27"/>
    <mergeCell ref="B10:C10"/>
    <mergeCell ref="B31:C31"/>
    <mergeCell ref="C17:E17"/>
    <mergeCell ref="B51:C51"/>
    <mergeCell ref="D5:H5"/>
    <mergeCell ref="E61:F61"/>
    <mergeCell ref="E62:F62"/>
    <mergeCell ref="D9:H9"/>
    <mergeCell ref="B28:C28"/>
    <mergeCell ref="G18:H18"/>
    <mergeCell ref="G21:G22"/>
    <mergeCell ref="B41:C41"/>
    <mergeCell ref="M9:N9"/>
    <mergeCell ref="D7:F7"/>
    <mergeCell ref="I61:O62"/>
    <mergeCell ref="F21:F22"/>
    <mergeCell ref="B70:C70"/>
    <mergeCell ref="O124:T124"/>
    <mergeCell ref="O130:S130"/>
    <mergeCell ref="N134:T134"/>
    <mergeCell ref="B7:C7"/>
    <mergeCell ref="F23:F32"/>
    <mergeCell ref="J9:K9"/>
    <mergeCell ref="B37:C37"/>
    <mergeCell ref="B33:C33"/>
    <mergeCell ref="J8:K8"/>
    <mergeCell ref="I46:O46"/>
    <mergeCell ref="M47:O47"/>
    <mergeCell ref="I52:J52"/>
    <mergeCell ref="B14:F14"/>
    <mergeCell ref="G46:H46"/>
    <mergeCell ref="E48:F48"/>
    <mergeCell ref="E68:F68"/>
    <mergeCell ref="B71:C71"/>
    <mergeCell ref="B66:C66"/>
    <mergeCell ref="O128:S128"/>
    <mergeCell ref="M52:O52"/>
    <mergeCell ref="B34:C34"/>
    <mergeCell ref="J10:N10"/>
    <mergeCell ref="D47:D55"/>
    <mergeCell ref="E49:F49"/>
    <mergeCell ref="I51:J51"/>
    <mergeCell ref="B9:C9"/>
    <mergeCell ref="M50:O50"/>
    <mergeCell ref="G68:H68"/>
    <mergeCell ref="C19:E19"/>
    <mergeCell ref="G60:H60"/>
    <mergeCell ref="I48:J48"/>
    <mergeCell ref="B52:C52"/>
    <mergeCell ref="E56:F56"/>
    <mergeCell ref="I64:J64"/>
    <mergeCell ref="E47:F47"/>
    <mergeCell ref="B50:C50"/>
    <mergeCell ref="E54:F54"/>
    <mergeCell ref="B54:C54"/>
    <mergeCell ref="I49:J49"/>
    <mergeCell ref="D12:E12"/>
    <mergeCell ref="B25:C25"/>
    <mergeCell ref="J11:N11"/>
    <mergeCell ref="M51:O51"/>
    <mergeCell ref="C15:E15"/>
    <mergeCell ref="I50:J50"/>
    <mergeCell ref="J19:N19"/>
    <mergeCell ref="G17:H17"/>
    <mergeCell ref="M48:O48"/>
    <mergeCell ref="B75:C75"/>
    <mergeCell ref="O131:S131"/>
    <mergeCell ref="G16:H16"/>
    <mergeCell ref="B53:C53"/>
    <mergeCell ref="E55:F55"/>
    <mergeCell ref="B8:C8"/>
    <mergeCell ref="B67:C67"/>
    <mergeCell ref="B74:C74"/>
  </mergeCells>
  <conditionalFormatting sqref="D40">
    <cfRule type="expression" priority="19" dxfId="0">
      <formula>$C$40="NO"</formula>
    </cfRule>
  </conditionalFormatting>
  <conditionalFormatting sqref="C61:F62">
    <cfRule type="expression" priority="2" dxfId="1">
      <formula>$E$60="YES"</formula>
    </cfRule>
  </conditionalFormatting>
  <conditionalFormatting sqref="B63:L64">
    <cfRule type="expression" priority="3" dxfId="2">
      <formula>$E$60="NO"</formula>
    </cfRule>
  </conditionalFormatting>
  <conditionalFormatting sqref="D39">
    <cfRule type="expression" priority="21" dxfId="3">
      <formula>$C$39="NO"</formula>
    </cfRule>
  </conditionalFormatting>
  <conditionalFormatting sqref="D38">
    <cfRule type="expression" priority="29" dxfId="4">
      <formula>$C$38="NO"</formula>
    </cfRule>
  </conditionalFormatting>
  <conditionalFormatting sqref="D47">
    <cfRule type="expression" priority="1" dxfId="5">
      <formula>$G$3="No Tax"</formula>
    </cfRule>
  </conditionalFormatting>
  <conditionalFormatting sqref="G66:G71">
    <cfRule type="expression" priority="27" dxfId="6">
      <formula>E66=""</formula>
    </cfRule>
  </conditionalFormatting>
  <conditionalFormatting sqref="G3">
    <cfRule type="expression" priority="16" dxfId="7">
      <formula>$A$1=1</formula>
    </cfRule>
  </conditionalFormatting>
  <conditionalFormatting sqref="P68:S73 M9 AD152 O139:Y181 G169:L177 P68:T72 X146:AC152 AD146:AD150 P2:R65 T2:V65 S2:S6 S8:S65 N119:AC137 J99:Z114 P66:Q66 P67:R67 L186:Z212">
    <cfRule type="expression" priority="17" dxfId="8">
      <formula>$A$1=1</formula>
    </cfRule>
  </conditionalFormatting>
  <conditionalFormatting sqref="G67:G71">
    <cfRule type="expression" priority="33" dxfId="9">
      <formula>$E$66=""</formula>
    </cfRule>
  </conditionalFormatting>
  <conditionalFormatting sqref="D32">
    <cfRule type="expression" priority="14" dxfId="10">
      <formula>$C$32="NO"</formula>
    </cfRule>
  </conditionalFormatting>
  <conditionalFormatting sqref="J3:N4">
    <cfRule type="expression" priority="22" dxfId="11">
      <formula>$G$3="No Tax"</formula>
    </cfRule>
  </conditionalFormatting>
  <conditionalFormatting sqref="A1 I23">
    <cfRule type="expression" priority="15" dxfId="12">
      <formula>$A$1=1</formula>
    </cfRule>
  </conditionalFormatting>
  <dataValidations count="17">
    <dataValidation allowBlank="1" type="list" errorStyle="stop" showInputMessage="1" showErrorMessage="1" sqref="D69">
      <formula1>"Charitable Trust,Electoral Trust"</formula1>
    </dataValidation>
    <dataValidation allowBlank="1" type="list" errorStyle="stop" showInputMessage="1" sqref="E30">
      <formula1>"75,110,150"</formula1>
    </dataValidation>
    <dataValidation allowBlank="1" type="list" errorStyle="stop" showInputMessage="1" showErrorMessage="1" sqref="E39">
      <formula1>"15,30"</formula1>
    </dataValidation>
    <dataValidation allowBlank="1" type="list" errorStyle="stop" showInputMessage="1" showErrorMessage="1" sqref="D67">
      <formula1>"Self,Dependent Parents,S.Citizen Parents"</formula1>
    </dataValidation>
    <dataValidation allowBlank="1" type="list" errorStyle="stop" showInputMessage="1" showErrorMessage="1" sqref="D66">
      <formula1>"S.Citizen, not S.Citizen"</formula1>
    </dataValidation>
    <dataValidation allowBlank="1" type="list" errorStyle="stop" showInputMessage="1" showErrorMessage="1" sqref="H28">
      <formula1>"15,30,60,120"</formula1>
    </dataValidation>
    <dataValidation allowBlank="1" type="list" errorStyle="stop" showInputMessage="1" showErrorMessage="1" sqref="D71">
      <formula1>"Not Applicable,&gt;80%,&gt;40%,"</formula1>
    </dataValidation>
    <dataValidation allowBlank="1" type="list" errorStyle="stop" showInputMessage="1" showErrorMessage="1" sqref="D68">
      <formula1>"Self,Spouse,Children,S.Citizen"</formula1>
    </dataValidation>
    <dataValidation allowBlank="1" type="any" operator="between" errorStyle="stop" showInputMessage="1" sqref="D11:H11"/>
    <dataValidation allowBlank="1" type="list" errorStyle="stop" showInputMessage="1" showErrorMessage="1" sqref="E40">
      <formula1>MonthDays</formula1>
    </dataValidation>
    <dataValidation allowBlank="1" type="list" errorStyle="stop" showInputMessage="1" showErrorMessage="1" sqref="C32">
      <formula1>"YES,NO"</formula1>
    </dataValidation>
    <dataValidation allowBlank="1" type="list" errorStyle="stop" showInputMessage="1" showErrorMessage="1" sqref="C42">
      <formula1>"Promotion Date, Incriment Date"</formula1>
    </dataValidation>
    <dataValidation allowBlank="1" type="list" errorStyle="stop" showInputMessage="1" showErrorMessage="1" sqref="D25">
      <formula1>"YES,NO"</formula1>
    </dataValidation>
    <dataValidation allowBlank="1" type="list" errorStyle="stop" showInputMessage="1" showErrorMessage="1" sqref="E36">
      <formula1>"20,50"</formula1>
    </dataValidation>
    <dataValidation allowBlank="1" type="list" errorStyle="stop" showInputMessage="1" showErrorMessage="1" sqref="E28">
      <formula1>"15,30,60,120"</formula1>
    </dataValidation>
    <dataValidation allowBlank="1" type="list" errorStyle="stop" showInputMessage="1" showErrorMessage="1" sqref="D32">
      <formula1>"&gt;40%,&gt;80%"</formula1>
    </dataValidation>
    <dataValidation allowBlank="1" type="list" errorStyle="stop" showInputMessage="1" showErrorMessage="1" sqref="E37">
      <formula1>"50,100"</formula1>
    </dataValidation>
  </dataValidations>
  <hyperlinks>
    <hyperlink ref="J11" r:id="rId2"/>
  </hyperlink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allowBlank="1" type="list" errorStyle="stop" showInputMessage="1" showErrorMessage="1">
          <x14:formula1>
            <xm:f>Sheet4!H3:H22</xm:f>
          </x14:formula1>
          <xm:sqref>B47:C48</xm:sqref>
        </x14:dataValidation>
        <x14:dataValidation allowBlank="1" type="list" errorStyle="stop" showInputMessage="1" showErrorMessage="1">
          <x14:formula1>
            <xm:f>Sheet4!G1:G15</xm:f>
          </x14:formula1>
          <xm:sqref>G24</xm:sqref>
        </x14:dataValidation>
        <x14:dataValidation allowBlank="1" type="list" errorStyle="stop" showInputMessage="1" showErrorMessage="1">
          <x14:formula1>
            <xm:f>Sheet4!J3:J33</xm:f>
          </x14:formula1>
          <xm:sqref>E38</xm:sqref>
        </x14:dataValidation>
        <x14:dataValidation allowBlank="1" type="list" errorStyle="stop" showInputMessage="1" showErrorMessage="1">
          <x14:formula1>
            <xm:f>Sheet4!L3:L4</xm:f>
          </x14:formula1>
          <xm:sqref>D12</xm:sqref>
        </x14:dataValidation>
        <x14:dataValidation allowBlank="1" type="list" errorStyle="stop" showInputMessage="1" showErrorMessage="1">
          <x14:formula1>
            <xm:f>Sheet4!G3:G17</xm:f>
          </x14:formula1>
          <xm:sqref>G26:G31</xm:sqref>
        </x14:dataValidation>
        <x14:dataValidation allowBlank="1" type="list" errorStyle="stop" showInputMessage="1" promptTitle="Date of Promotion" prompt="If YES please mention Date." showErrorMessage="1">
          <x14:formula1>
            <xm:f>Sheet4!K3:K4</xm:f>
          </x14:formula1>
          <xm:sqref>C40</xm:sqref>
        </x14:dataValidation>
        <x14:dataValidation allowBlank="1" type="list" errorStyle="stop" showInputMessage="1" showErrorMessage="1">
          <x14:formula1>
            <xm:f>Sheet4!K3:K4</xm:f>
          </x14:formula1>
          <xm:sqref>C38:C39</xm:sqref>
        </x14:dataValidation>
        <x14:dataValidation allowBlank="1" type="list" errorStyle="stop" showInputMessage="1" showErrorMessage="1">
          <x14:formula1>
            <xm:f>Sheet4!G5:G17</xm:f>
          </x14:formula1>
          <xm:sqref>D38:D40</xm:sqref>
        </x14:dataValidation>
        <x14:dataValidation allowBlank="1" type="list" errorStyle="stop" showInputMessage="1">
          <x14:formula1>
            <xm:f>Sheet4!H3:H22</xm:f>
          </x14:formula1>
          <xm:sqref>B49:C52</xm:sqref>
        </x14:dataValidation>
      </x14:dataValidations>
    </ext>
  </extLst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FFC000"/>
  </sheetPr>
  <dimension ref="A1:AE29"/>
  <sheetViews>
    <sheetView workbookViewId="0" showGridLines="0" showRowColHeaders="0">
      <selection activeCell="A2" sqref="A2"/>
    </sheetView>
  </sheetViews>
  <sheetFormatPr defaultRowHeight="15.0" defaultColWidth="10"/>
  <cols>
    <col min="1" max="1" customWidth="1" width="3.5703125" style="0"/>
    <col min="2" max="2" customWidth="1" width="9.855469" style="0"/>
    <col min="3" max="3" customWidth="1" width="7.8554688" style="0"/>
    <col min="4" max="4" customWidth="1" width="6.7109375" style="0"/>
    <col min="5" max="5" customWidth="1" width="7.140625" style="0"/>
    <col min="6" max="6" customWidth="1" width="4.4257812" style="0"/>
    <col min="7" max="7" customWidth="1" width="4.2851562" style="0"/>
    <col min="8" max="8" customWidth="1" width="4.8554688" style="0"/>
    <col min="9" max="9" customWidth="1" width="6.8554688" style="0"/>
    <col min="10" max="10" customWidth="1" width="4.2851562" style="0"/>
    <col min="11" max="11" customWidth="1" width="6.4257812" style="0"/>
    <col min="12" max="12" customWidth="1" width="8.285156" style="0"/>
    <col min="13" max="13" customWidth="1" width="6.7109375" style="0"/>
    <col min="14" max="14" customWidth="1" width="6.0" style="0"/>
    <col min="15" max="15" customWidth="1" width="5.2851562" style="0"/>
    <col min="16" max="16" customWidth="1" width="5.4257812" style="0"/>
    <col min="17" max="17" customWidth="1" width="6.7109375" style="0"/>
    <col min="18" max="18" customWidth="1" width="5.140625" style="0"/>
    <col min="19" max="19" customWidth="1" width="4.2851562" style="0"/>
    <col min="20" max="20" customWidth="1" width="5.4257812" style="0"/>
    <col min="21" max="21" customWidth="1" width="4.8554688" style="0"/>
    <col min="22" max="22" customWidth="1" width="6.140625" style="0"/>
    <col min="23" max="23" customWidth="1" width="8.7109375" style="0"/>
    <col min="24" max="24" customWidth="1" width="8.285156" style="0"/>
    <col min="25" max="26" customWidth="1" width="9.285156" style="0"/>
  </cols>
  <sheetData>
    <row r="1" spans="8:8" ht="16.5">
      <c r="A1" s="312" t="str">
        <f>CONCATENATE("Statement showing  Salary particulars of  ",Data!C4," ",Data!D4,", ",Data!D7,", ",Data!D8,", ",Data!D9,", ",Data!D10," ",Data!B10,", ",Data!D11)</f>
        <v>Statement showing  Salary particulars of  Sri. P. Pothan Prasad, SGT, M.P.P.School, N.R.Palle, Pengalur Mandal, Kadapa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3"/>
      <c r="Z1" s="313"/>
      <c r="AA1" s="313"/>
      <c r="AB1" s="313"/>
    </row>
    <row r="2" spans="8:8">
      <c r="A2" s="313"/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 t="s">
        <v>48</v>
      </c>
      <c r="W2" s="313"/>
      <c r="X2" s="313"/>
      <c r="Y2" s="313"/>
      <c r="Z2" s="313"/>
      <c r="AA2" s="313"/>
      <c r="AB2" s="313"/>
    </row>
    <row r="3" spans="8:8" ht="54.0">
      <c r="A3" s="314" t="s">
        <v>49</v>
      </c>
      <c r="B3" s="314" t="s">
        <v>30</v>
      </c>
      <c r="C3" s="314" t="s">
        <v>50</v>
      </c>
      <c r="D3" s="314" t="s">
        <v>51</v>
      </c>
      <c r="E3" s="314" t="s">
        <v>52</v>
      </c>
      <c r="F3" s="314" t="s">
        <v>34</v>
      </c>
      <c r="G3" s="314" t="s">
        <v>35</v>
      </c>
      <c r="H3" s="315" t="s">
        <v>536</v>
      </c>
      <c r="I3" s="314" t="s">
        <v>676</v>
      </c>
      <c r="J3" s="314" t="s">
        <v>38</v>
      </c>
      <c r="K3" s="314" t="s">
        <v>53</v>
      </c>
      <c r="L3" s="314" t="s">
        <v>54</v>
      </c>
      <c r="M3" s="314" t="str">
        <f>Data!C24</f>
        <v>CPS</v>
      </c>
      <c r="N3" s="314" t="s">
        <v>55</v>
      </c>
      <c r="O3" s="314" t="s">
        <v>56</v>
      </c>
      <c r="P3" s="314" t="s">
        <v>57</v>
      </c>
      <c r="Q3" s="314" t="s">
        <v>58</v>
      </c>
      <c r="R3" s="314" t="s">
        <v>286</v>
      </c>
      <c r="S3" s="316" t="s">
        <v>59</v>
      </c>
      <c r="T3" s="316" t="s">
        <v>60</v>
      </c>
      <c r="U3" s="314" t="s">
        <v>530</v>
      </c>
      <c r="V3" s="314" t="s">
        <v>531</v>
      </c>
      <c r="W3" s="314" t="s">
        <v>61</v>
      </c>
      <c r="X3" s="317" t="s">
        <v>62</v>
      </c>
      <c r="Y3" s="318" t="s">
        <v>63</v>
      </c>
      <c r="Z3" s="318" t="s">
        <v>64</v>
      </c>
      <c r="AA3" s="313"/>
      <c r="AB3" s="313"/>
    </row>
    <row r="4" spans="8:8">
      <c r="A4" s="319">
        <v>1.0</v>
      </c>
      <c r="B4" s="320" t="str">
        <f>Data!J23</f>
        <v>MAR21</v>
      </c>
      <c r="C4" s="319">
        <f>Data!K23</f>
        <v>38130.0</v>
      </c>
      <c r="D4" s="319">
        <f>ROUND(C4*Data!L23%,0)</f>
        <v>11588.0</v>
      </c>
      <c r="E4" s="319">
        <f t="shared" si="0" ref="E4:E15">ROUND(C4*VLOOKUP(B4,MBDH,4,FALSE)%,0)</f>
        <v>4576.0</v>
      </c>
      <c r="F4" s="319">
        <f>Data!T103</f>
        <v>0.0</v>
      </c>
      <c r="G4" s="319">
        <f>Data!E33</f>
        <v>0.0</v>
      </c>
      <c r="H4" s="319">
        <f>Data!E34</f>
        <v>0.0</v>
      </c>
      <c r="I4" s="319">
        <f t="shared" si="1" ref="I4:I7">ROUND(C4*27%,0)</f>
        <v>10295.0</v>
      </c>
      <c r="J4" s="319">
        <f>Data!Y103</f>
        <v>0.0</v>
      </c>
      <c r="K4" s="319">
        <f>Data!Z103</f>
        <v>0.0</v>
      </c>
      <c r="L4" s="319">
        <f t="shared" si="2" ref="L4:L18">SUM(C4:K4)</f>
        <v>64589.0</v>
      </c>
      <c r="M4" s="321">
        <f>IF(Data!$C$24="CPS",ROUND((C4+D4)*10/100,0),Data!R103)</f>
        <v>4972.0</v>
      </c>
      <c r="N4" s="319">
        <f>Data!S103</f>
        <v>1000.0</v>
      </c>
      <c r="O4" s="319">
        <f>Data!X103</f>
        <v>30.0</v>
      </c>
      <c r="P4" s="322">
        <f>IF(Data!$C$32="YES",0,IF(L4&gt;20000,200,150))</f>
        <v>200.0</v>
      </c>
      <c r="Q4" s="319">
        <f>Data!V103</f>
        <v>0.0</v>
      </c>
      <c r="R4" s="321">
        <f>Data!E41</f>
        <v>0.0</v>
      </c>
      <c r="S4" s="319">
        <f>Data!E36</f>
        <v>20.0</v>
      </c>
      <c r="T4" s="319">
        <f>Data!W103</f>
        <v>90.0</v>
      </c>
      <c r="U4" s="319">
        <v>0.0</v>
      </c>
      <c r="V4" s="319">
        <f>Data!H47</f>
        <v>0.0</v>
      </c>
      <c r="W4" s="321">
        <f>SUM(M4:V4)</f>
        <v>6312.0</v>
      </c>
      <c r="X4" s="323">
        <f>L4-W4</f>
        <v>58277.0</v>
      </c>
      <c r="Y4" s="324">
        <f>Data!L23</f>
        <v>30.392</v>
      </c>
      <c r="Z4" s="325">
        <f>Data!M23</f>
        <v>12.0</v>
      </c>
      <c r="AA4" s="313"/>
      <c r="AB4" s="313"/>
    </row>
    <row r="5" spans="8:8">
      <c r="A5" s="319">
        <v>2.0</v>
      </c>
      <c r="B5" s="320" t="str">
        <f>Data!J24</f>
        <v>APR21</v>
      </c>
      <c r="C5" s="319">
        <f>Data!K24</f>
        <v>38130.0</v>
      </c>
      <c r="D5" s="319">
        <f>ROUND(C5*Data!L24%,0)</f>
        <v>11588.0</v>
      </c>
      <c r="E5" s="319">
        <f t="shared" si="0"/>
        <v>4576.0</v>
      </c>
      <c r="F5" s="319">
        <f>Data!T104</f>
        <v>0.0</v>
      </c>
      <c r="G5" s="319">
        <f>G4</f>
        <v>0.0</v>
      </c>
      <c r="H5" s="319">
        <f>H4</f>
        <v>0.0</v>
      </c>
      <c r="I5" s="319">
        <f t="shared" si="1"/>
        <v>10295.0</v>
      </c>
      <c r="J5" s="319">
        <f>Data!Y104</f>
        <v>0.0</v>
      </c>
      <c r="K5" s="319">
        <f>Data!Z104</f>
        <v>0.0</v>
      </c>
      <c r="L5" s="319">
        <f t="shared" si="2"/>
        <v>64589.0</v>
      </c>
      <c r="M5" s="321">
        <f>IF(Data!$C$24="CPS",ROUND((C5+D5)*10/100,0),Data!R104)</f>
        <v>4972.0</v>
      </c>
      <c r="N5" s="319">
        <f>Data!S104</f>
        <v>1000.0</v>
      </c>
      <c r="O5" s="319">
        <f>Data!X104</f>
        <v>30.0</v>
      </c>
      <c r="P5" s="326">
        <f>IF(Data!$C$32="YES",0,IF(L5&gt;20000,200,150))</f>
        <v>200.0</v>
      </c>
      <c r="Q5" s="319">
        <f>Data!V104</f>
        <v>0.0</v>
      </c>
      <c r="R5" s="321">
        <f>R4</f>
        <v>0.0</v>
      </c>
      <c r="S5" s="319"/>
      <c r="T5" s="319">
        <f>Data!W104</f>
        <v>90.0</v>
      </c>
      <c r="U5" s="319">
        <f>U4</f>
        <v>0.0</v>
      </c>
      <c r="V5" s="319">
        <f>Data!H48</f>
        <v>0.0</v>
      </c>
      <c r="W5" s="321">
        <f t="shared" si="3" ref="W5:W22">SUM(M5:V5)</f>
        <v>6292.0</v>
      </c>
      <c r="X5" s="323">
        <f t="shared" si="4" ref="X5:X23">L5-W5</f>
        <v>58297.0</v>
      </c>
      <c r="Y5" s="324">
        <f>Data!L24</f>
        <v>30.392</v>
      </c>
      <c r="Z5" s="325">
        <f>Data!M24</f>
        <v>12.0</v>
      </c>
      <c r="AA5" s="313"/>
      <c r="AB5" s="313"/>
    </row>
    <row r="6" spans="8:8">
      <c r="A6" s="319">
        <v>3.0</v>
      </c>
      <c r="B6" s="320" t="str">
        <f>Data!J25</f>
        <v>MAY21</v>
      </c>
      <c r="C6" s="319">
        <f>Data!K25</f>
        <v>38130.0</v>
      </c>
      <c r="D6" s="319">
        <f>ROUND(C6*Data!L25%,0)</f>
        <v>11588.0</v>
      </c>
      <c r="E6" s="319">
        <f t="shared" si="0"/>
        <v>4576.0</v>
      </c>
      <c r="F6" s="319">
        <f>Data!T105</f>
        <v>0.0</v>
      </c>
      <c r="G6" s="319">
        <f t="shared" si="5" ref="G6:G15">G5</f>
        <v>0.0</v>
      </c>
      <c r="H6" s="319">
        <f t="shared" si="6" ref="H6:H14">H5</f>
        <v>0.0</v>
      </c>
      <c r="I6" s="319">
        <f t="shared" si="1"/>
        <v>10295.0</v>
      </c>
      <c r="J6" s="319">
        <f>Data!Y105</f>
        <v>0.0</v>
      </c>
      <c r="K6" s="319">
        <f>Data!Z105</f>
        <v>0.0</v>
      </c>
      <c r="L6" s="319">
        <f t="shared" si="2"/>
        <v>64589.0</v>
      </c>
      <c r="M6" s="321">
        <f>IF(Data!$C$24="CPS",ROUND((C6+D6)*10/100,0),Data!R105)</f>
        <v>4972.0</v>
      </c>
      <c r="N6" s="319">
        <f>Data!S105</f>
        <v>1000.0</v>
      </c>
      <c r="O6" s="319">
        <f>Data!X105</f>
        <v>30.0</v>
      </c>
      <c r="P6" s="326">
        <f>IF(Data!$C$32="YES",0,IF(L6&gt;20000,200,150))</f>
        <v>200.0</v>
      </c>
      <c r="Q6" s="319">
        <f>Data!V105</f>
        <v>0.0</v>
      </c>
      <c r="R6" s="321">
        <f t="shared" si="7" ref="R6:R15">R5</f>
        <v>0.0</v>
      </c>
      <c r="S6" s="319"/>
      <c r="T6" s="319">
        <f>Data!W105</f>
        <v>225.0</v>
      </c>
      <c r="U6" s="319">
        <f t="shared" si="8" ref="U6:U15">U5</f>
        <v>0.0</v>
      </c>
      <c r="V6" s="319">
        <f>Data!H49</f>
        <v>0.0</v>
      </c>
      <c r="W6" s="321">
        <f t="shared" si="3"/>
        <v>6427.0</v>
      </c>
      <c r="X6" s="323">
        <f t="shared" si="4"/>
        <v>58162.0</v>
      </c>
      <c r="Y6" s="324">
        <f>Data!L25</f>
        <v>30.392</v>
      </c>
      <c r="Z6" s="325">
        <f>Data!M25</f>
        <v>12.0</v>
      </c>
      <c r="AA6" s="313"/>
      <c r="AB6" s="313"/>
    </row>
    <row r="7" spans="8:8">
      <c r="A7" s="319">
        <v>4.0</v>
      </c>
      <c r="B7" s="320" t="str">
        <f>Data!J26</f>
        <v>JUN21</v>
      </c>
      <c r="C7" s="319">
        <f>Data!K26</f>
        <v>38130.0</v>
      </c>
      <c r="D7" s="319">
        <f>ROUND(C7*Data!L26%,0)</f>
        <v>11588.0</v>
      </c>
      <c r="E7" s="319">
        <f t="shared" si="0"/>
        <v>4576.0</v>
      </c>
      <c r="F7" s="319">
        <f>Data!T106</f>
        <v>0.0</v>
      </c>
      <c r="G7" s="319">
        <f t="shared" si="5"/>
        <v>0.0</v>
      </c>
      <c r="H7" s="319">
        <f t="shared" si="6"/>
        <v>0.0</v>
      </c>
      <c r="I7" s="319">
        <f t="shared" si="1"/>
        <v>10295.0</v>
      </c>
      <c r="J7" s="319">
        <f>Data!Y106</f>
        <v>0.0</v>
      </c>
      <c r="K7" s="319">
        <f>Data!Z106</f>
        <v>0.0</v>
      </c>
      <c r="L7" s="319">
        <f t="shared" si="2"/>
        <v>64589.0</v>
      </c>
      <c r="M7" s="321">
        <f>IF(Data!$C$24="CPS",ROUND((C7+D7)*10/100,0),Data!R106)</f>
        <v>4972.0</v>
      </c>
      <c r="N7" s="319">
        <f>Data!S106</f>
        <v>1000.0</v>
      </c>
      <c r="O7" s="319">
        <f>Data!X106</f>
        <v>30.0</v>
      </c>
      <c r="P7" s="326">
        <f>IF(Data!$C$32="YES",0,IF(L7&gt;20000,200,150))</f>
        <v>200.0</v>
      </c>
      <c r="Q7" s="319">
        <f>Data!V106</f>
        <v>0.0</v>
      </c>
      <c r="R7" s="321">
        <f t="shared" si="7"/>
        <v>0.0</v>
      </c>
      <c r="S7" s="319"/>
      <c r="T7" s="319">
        <f>Data!W106</f>
        <v>225.0</v>
      </c>
      <c r="U7" s="319">
        <f t="shared" si="8"/>
        <v>0.0</v>
      </c>
      <c r="V7" s="319">
        <f>Data!H50</f>
        <v>0.0</v>
      </c>
      <c r="W7" s="321">
        <f t="shared" si="3"/>
        <v>6427.0</v>
      </c>
      <c r="X7" s="323">
        <f t="shared" si="4"/>
        <v>58162.0</v>
      </c>
      <c r="Y7" s="324">
        <f>Data!L26</f>
        <v>30.392</v>
      </c>
      <c r="Z7" s="325">
        <f>Data!M26</f>
        <v>12.0</v>
      </c>
      <c r="AA7" s="313"/>
      <c r="AB7" s="313"/>
    </row>
    <row r="8" spans="8:8">
      <c r="A8" s="319">
        <v>5.0</v>
      </c>
      <c r="B8" s="320" t="str">
        <f>Data!J27</f>
        <v>JUL21</v>
      </c>
      <c r="C8" s="319">
        <f>Data!K27</f>
        <v>38130.0</v>
      </c>
      <c r="D8" s="319">
        <f>ROUND(C8*Data!L27%,0)</f>
        <v>12787.0</v>
      </c>
      <c r="E8" s="319">
        <f t="shared" si="0"/>
        <v>4576.0</v>
      </c>
      <c r="F8" s="319">
        <f>Data!T107</f>
        <v>0.0</v>
      </c>
      <c r="G8" s="319">
        <f t="shared" si="5"/>
        <v>0.0</v>
      </c>
      <c r="H8" s="319">
        <f t="shared" si="6"/>
        <v>0.0</v>
      </c>
      <c r="I8" s="319">
        <f>ROUND(C8*27%,0)</f>
        <v>10295.0</v>
      </c>
      <c r="J8" s="319">
        <f>Data!Y107</f>
        <v>0.0</v>
      </c>
      <c r="K8" s="319">
        <f>Data!Z107</f>
        <v>0.0</v>
      </c>
      <c r="L8" s="319">
        <f t="shared" si="2"/>
        <v>65788.0</v>
      </c>
      <c r="M8" s="321">
        <f>IF(Data!$C$24="CPS",ROUND((C8+D8)*10/100,0),Data!R107)</f>
        <v>5092.0</v>
      </c>
      <c r="N8" s="319">
        <f>Data!S107</f>
        <v>1000.0</v>
      </c>
      <c r="O8" s="319">
        <f>Data!X107</f>
        <v>30.0</v>
      </c>
      <c r="P8" s="326">
        <f>IF(Data!$C$32="YES",0,IF(L8&gt;20000,200,150))</f>
        <v>200.0</v>
      </c>
      <c r="Q8" s="319">
        <f>Data!V107</f>
        <v>0.0</v>
      </c>
      <c r="R8" s="321">
        <f t="shared" si="7"/>
        <v>0.0</v>
      </c>
      <c r="S8" s="319"/>
      <c r="T8" s="319">
        <f>Data!W107</f>
        <v>225.0</v>
      </c>
      <c r="U8" s="319">
        <f t="shared" si="8"/>
        <v>0.0</v>
      </c>
      <c r="V8" s="319">
        <f>Data!H51</f>
        <v>0.0</v>
      </c>
      <c r="W8" s="321">
        <f t="shared" si="3"/>
        <v>6547.0</v>
      </c>
      <c r="X8" s="323">
        <f t="shared" si="4"/>
        <v>59241.0</v>
      </c>
      <c r="Y8" s="324">
        <f>Data!L27</f>
        <v>33.536</v>
      </c>
      <c r="Z8" s="325">
        <f>Data!M27</f>
        <v>12.0</v>
      </c>
      <c r="AA8" s="313"/>
      <c r="AB8" s="313"/>
    </row>
    <row r="9" spans="8:8">
      <c r="A9" s="319">
        <v>6.0</v>
      </c>
      <c r="B9" s="320" t="str">
        <f>Data!J28</f>
        <v>AUG21</v>
      </c>
      <c r="C9" s="319">
        <f>Data!K28</f>
        <v>38130.0</v>
      </c>
      <c r="D9" s="319">
        <f>ROUND(C9*Data!L28%,0)</f>
        <v>12787.0</v>
      </c>
      <c r="E9" s="319">
        <f t="shared" si="0"/>
        <v>4576.0</v>
      </c>
      <c r="F9" s="319">
        <f>Data!T108</f>
        <v>0.0</v>
      </c>
      <c r="G9" s="319">
        <f t="shared" si="5"/>
        <v>0.0</v>
      </c>
      <c r="H9" s="319">
        <f t="shared" si="6"/>
        <v>0.0</v>
      </c>
      <c r="I9" s="319">
        <f t="shared" si="9" ref="I9:I13">ROUND(C9*27%,0)</f>
        <v>10295.0</v>
      </c>
      <c r="J9" s="319">
        <f>Data!Y108</f>
        <v>0.0</v>
      </c>
      <c r="K9" s="319">
        <f>Data!Z108</f>
        <v>0.0</v>
      </c>
      <c r="L9" s="319">
        <f t="shared" si="2"/>
        <v>65788.0</v>
      </c>
      <c r="M9" s="321">
        <f>IF(Data!$C$24="CPS",ROUND((C9+D9)*10/100,0),Data!R108)</f>
        <v>5092.0</v>
      </c>
      <c r="N9" s="319">
        <f>Data!S108</f>
        <v>1000.0</v>
      </c>
      <c r="O9" s="319">
        <f>Data!X108</f>
        <v>30.0</v>
      </c>
      <c r="P9" s="326">
        <f>IF(Data!$C$32="YES",0,IF(L9&gt;20000,200,150))</f>
        <v>200.0</v>
      </c>
      <c r="Q9" s="319">
        <f>Data!V108</f>
        <v>0.0</v>
      </c>
      <c r="R9" s="321">
        <f t="shared" si="7"/>
        <v>0.0</v>
      </c>
      <c r="S9" s="319"/>
      <c r="T9" s="319">
        <f>Data!W108</f>
        <v>225.0</v>
      </c>
      <c r="U9" s="319">
        <f t="shared" si="8"/>
        <v>0.0</v>
      </c>
      <c r="V9" s="319">
        <f>Data!H52</f>
        <v>0.0</v>
      </c>
      <c r="W9" s="321">
        <f t="shared" si="3"/>
        <v>6547.0</v>
      </c>
      <c r="X9" s="323">
        <f t="shared" si="4"/>
        <v>59241.0</v>
      </c>
      <c r="Y9" s="324">
        <f>Data!L28</f>
        <v>33.536</v>
      </c>
      <c r="Z9" s="325">
        <f>Data!M28</f>
        <v>12.0</v>
      </c>
      <c r="AA9" s="313"/>
      <c r="AB9" s="313"/>
    </row>
    <row r="10" spans="8:8">
      <c r="A10" s="319">
        <v>7.0</v>
      </c>
      <c r="B10" s="320" t="str">
        <f>Data!J29</f>
        <v>SEP21</v>
      </c>
      <c r="C10" s="319">
        <f>Data!K29</f>
        <v>38130.0</v>
      </c>
      <c r="D10" s="319">
        <f>ROUND(C10*Data!L29%,0)</f>
        <v>12787.0</v>
      </c>
      <c r="E10" s="319">
        <f t="shared" si="0"/>
        <v>4576.0</v>
      </c>
      <c r="F10" s="319">
        <f>Data!T109</f>
        <v>0.0</v>
      </c>
      <c r="G10" s="319">
        <f t="shared" si="5"/>
        <v>0.0</v>
      </c>
      <c r="H10" s="319">
        <f t="shared" si="6"/>
        <v>0.0</v>
      </c>
      <c r="I10" s="319">
        <f t="shared" si="9"/>
        <v>10295.0</v>
      </c>
      <c r="J10" s="319">
        <f>Data!Y109</f>
        <v>0.0</v>
      </c>
      <c r="K10" s="319">
        <f>Data!Z109</f>
        <v>0.0</v>
      </c>
      <c r="L10" s="319">
        <f t="shared" si="2"/>
        <v>65788.0</v>
      </c>
      <c r="M10" s="321">
        <f>IF(Data!$C$24="CPS",ROUND((C10+D10)*10/100,0),Data!R109)</f>
        <v>5092.0</v>
      </c>
      <c r="N10" s="319">
        <f>Data!S109</f>
        <v>1000.0</v>
      </c>
      <c r="O10" s="319">
        <f>Data!X109</f>
        <v>30.0</v>
      </c>
      <c r="P10" s="326">
        <f>IF(Data!$C$32="YES",0,IF(L10&gt;20000,200,150))</f>
        <v>200.0</v>
      </c>
      <c r="Q10" s="319">
        <f>Data!V109</f>
        <v>0.0</v>
      </c>
      <c r="R10" s="321">
        <f t="shared" si="7"/>
        <v>0.0</v>
      </c>
      <c r="S10" s="319"/>
      <c r="T10" s="319">
        <f>Data!W109</f>
        <v>225.0</v>
      </c>
      <c r="U10" s="319">
        <v>0.0</v>
      </c>
      <c r="V10" s="319">
        <f>Data!H53</f>
        <v>0.0</v>
      </c>
      <c r="W10" s="321">
        <f t="shared" si="3"/>
        <v>6547.0</v>
      </c>
      <c r="X10" s="323">
        <f t="shared" si="4"/>
        <v>59241.0</v>
      </c>
      <c r="Y10" s="324">
        <f>Data!L29</f>
        <v>33.536</v>
      </c>
      <c r="Z10" s="325">
        <f>Data!M29</f>
        <v>12.0</v>
      </c>
      <c r="AA10" s="313"/>
      <c r="AB10" s="313"/>
    </row>
    <row r="11" spans="8:8">
      <c r="A11" s="319">
        <v>8.0</v>
      </c>
      <c r="B11" s="320" t="str">
        <f>Data!J30</f>
        <v>OCT21</v>
      </c>
      <c r="C11" s="319">
        <f>Data!K30</f>
        <v>39160.0</v>
      </c>
      <c r="D11" s="319">
        <f>ROUND(C11*Data!L30%,0)</f>
        <v>13133.0</v>
      </c>
      <c r="E11" s="319">
        <f t="shared" si="0"/>
        <v>4699.0</v>
      </c>
      <c r="F11" s="319">
        <f>Data!T110</f>
        <v>0.0</v>
      </c>
      <c r="G11" s="319">
        <f t="shared" si="5"/>
        <v>0.0</v>
      </c>
      <c r="H11" s="319">
        <f t="shared" si="6"/>
        <v>0.0</v>
      </c>
      <c r="I11" s="319">
        <f t="shared" si="9"/>
        <v>10573.0</v>
      </c>
      <c r="J11" s="319">
        <f>Data!Y110</f>
        <v>0.0</v>
      </c>
      <c r="K11" s="319">
        <f>Data!Z110</f>
        <v>0.0</v>
      </c>
      <c r="L11" s="319">
        <f t="shared" si="2"/>
        <v>67565.0</v>
      </c>
      <c r="M11" s="321">
        <f>IF(Data!$C$24="CPS",ROUND((C11+D11)*10/100,0),Data!R110)</f>
        <v>5229.0</v>
      </c>
      <c r="N11" s="319">
        <f>Data!S110</f>
        <v>1000.0</v>
      </c>
      <c r="O11" s="319">
        <f>Data!X110</f>
        <v>30.0</v>
      </c>
      <c r="P11" s="326">
        <f>IF(Data!$C$32="YES",0,IF(L11&gt;20000,200,150))</f>
        <v>200.0</v>
      </c>
      <c r="Q11" s="319">
        <f>Data!V110</f>
        <v>0.0</v>
      </c>
      <c r="R11" s="321">
        <f t="shared" si="7"/>
        <v>0.0</v>
      </c>
      <c r="S11" s="319"/>
      <c r="T11" s="319">
        <f>Data!W110</f>
        <v>225.0</v>
      </c>
      <c r="U11" s="319">
        <v>0.0</v>
      </c>
      <c r="V11" s="319">
        <f>Data!H54</f>
        <v>0.0</v>
      </c>
      <c r="W11" s="321">
        <f t="shared" si="3"/>
        <v>6684.0</v>
      </c>
      <c r="X11" s="323">
        <f t="shared" si="4"/>
        <v>60881.0</v>
      </c>
      <c r="Y11" s="324">
        <f>Data!L30</f>
        <v>33.536</v>
      </c>
      <c r="Z11" s="325">
        <f>Data!M30</f>
        <v>12.0</v>
      </c>
      <c r="AA11" s="313"/>
      <c r="AB11" s="313"/>
    </row>
    <row r="12" spans="8:8">
      <c r="A12" s="319">
        <v>9.0</v>
      </c>
      <c r="B12" s="320" t="str">
        <f>Data!J31</f>
        <v>NOV21</v>
      </c>
      <c r="C12" s="319">
        <f>Data!K31</f>
        <v>39160.0</v>
      </c>
      <c r="D12" s="319">
        <f>ROUND(C12*Data!L31%,0)</f>
        <v>13133.0</v>
      </c>
      <c r="E12" s="319">
        <f t="shared" si="0"/>
        <v>4699.0</v>
      </c>
      <c r="F12" s="319">
        <f>Data!T111</f>
        <v>0.0</v>
      </c>
      <c r="G12" s="319">
        <f t="shared" si="5"/>
        <v>0.0</v>
      </c>
      <c r="H12" s="319">
        <f t="shared" si="6"/>
        <v>0.0</v>
      </c>
      <c r="I12" s="319">
        <f t="shared" si="9"/>
        <v>10573.0</v>
      </c>
      <c r="J12" s="319">
        <f>Data!Y111</f>
        <v>0.0</v>
      </c>
      <c r="K12" s="319">
        <f>Data!Z111</f>
        <v>0.0</v>
      </c>
      <c r="L12" s="319">
        <f t="shared" si="2"/>
        <v>67565.0</v>
      </c>
      <c r="M12" s="321">
        <f>IF(Data!$C$24="CPS",ROUND((C12+D12)*10/100,0),Data!R111)</f>
        <v>5229.0</v>
      </c>
      <c r="N12" s="319">
        <f>Data!S111</f>
        <v>1000.0</v>
      </c>
      <c r="O12" s="319">
        <f>Data!X111</f>
        <v>30.0</v>
      </c>
      <c r="P12" s="326">
        <f>IF(Data!$C$32="YES",0,IF(L12&gt;20000,200,150))</f>
        <v>200.0</v>
      </c>
      <c r="Q12" s="319">
        <f>Data!V111</f>
        <v>0.0</v>
      </c>
      <c r="R12" s="321">
        <f t="shared" si="7"/>
        <v>0.0</v>
      </c>
      <c r="S12" s="319"/>
      <c r="T12" s="319">
        <f>Data!W111</f>
        <v>225.0</v>
      </c>
      <c r="U12" s="319">
        <f>Data!E55</f>
        <v>0.0</v>
      </c>
      <c r="V12" s="319">
        <f>Data!H55</f>
        <v>0.0</v>
      </c>
      <c r="W12" s="321">
        <f t="shared" si="3"/>
        <v>6684.0</v>
      </c>
      <c r="X12" s="323">
        <f t="shared" si="4"/>
        <v>60881.0</v>
      </c>
      <c r="Y12" s="324">
        <f>Data!L31</f>
        <v>33.536</v>
      </c>
      <c r="Z12" s="325">
        <f>Data!M31</f>
        <v>12.0</v>
      </c>
      <c r="AA12" s="313"/>
      <c r="AB12" s="313"/>
    </row>
    <row r="13" spans="8:8">
      <c r="A13" s="319">
        <v>10.0</v>
      </c>
      <c r="B13" s="320" t="str">
        <f>Data!J32</f>
        <v>DEC21</v>
      </c>
      <c r="C13" s="319">
        <f>Data!K32</f>
        <v>39160.0</v>
      </c>
      <c r="D13" s="319">
        <f>ROUND(C13*Data!L32%,0)</f>
        <v>13133.0</v>
      </c>
      <c r="E13" s="319">
        <f t="shared" si="0"/>
        <v>4699.0</v>
      </c>
      <c r="F13" s="319">
        <f>Data!T112</f>
        <v>0.0</v>
      </c>
      <c r="G13" s="319">
        <f t="shared" si="5"/>
        <v>0.0</v>
      </c>
      <c r="H13" s="319">
        <f t="shared" si="6"/>
        <v>0.0</v>
      </c>
      <c r="I13" s="319">
        <f t="shared" si="9"/>
        <v>10573.0</v>
      </c>
      <c r="J13" s="319">
        <f>Data!Y112</f>
        <v>0.0</v>
      </c>
      <c r="K13" s="319">
        <f>Data!Z112</f>
        <v>0.0</v>
      </c>
      <c r="L13" s="319">
        <f t="shared" si="2"/>
        <v>67565.0</v>
      </c>
      <c r="M13" s="321">
        <f>IF(Data!$C$24="CPS",ROUND((C13+D13)*10/100,0),Data!R112)</f>
        <v>5229.0</v>
      </c>
      <c r="N13" s="319">
        <f>Data!S112</f>
        <v>1000.0</v>
      </c>
      <c r="O13" s="319">
        <f>Data!X112</f>
        <v>30.0</v>
      </c>
      <c r="P13" s="326">
        <f>IF(Data!$C$32="YES",0,IF(L13&gt;20000,200,150))</f>
        <v>200.0</v>
      </c>
      <c r="Q13" s="319">
        <f>Data!V112</f>
        <v>0.0</v>
      </c>
      <c r="R13" s="321">
        <f t="shared" si="7"/>
        <v>0.0</v>
      </c>
      <c r="S13" s="319">
        <f>Data!E37</f>
        <v>50.0</v>
      </c>
      <c r="T13" s="319">
        <f>Data!W112</f>
        <v>225.0</v>
      </c>
      <c r="U13" s="319">
        <v>0.0</v>
      </c>
      <c r="V13" s="319">
        <f>Data!H56</f>
        <v>0.0</v>
      </c>
      <c r="W13" s="321">
        <f t="shared" si="3"/>
        <v>6734.0</v>
      </c>
      <c r="X13" s="323">
        <f t="shared" si="4"/>
        <v>60831.0</v>
      </c>
      <c r="Y13" s="324">
        <f>Data!L32</f>
        <v>33.536</v>
      </c>
      <c r="Z13" s="325">
        <f>Data!M32</f>
        <v>12.0</v>
      </c>
      <c r="AA13" s="313"/>
      <c r="AB13" s="313"/>
    </row>
    <row r="14" spans="8:8">
      <c r="A14" s="319">
        <v>11.0</v>
      </c>
      <c r="B14" s="320" t="str">
        <f>Data!J33</f>
        <v>JAN22</v>
      </c>
      <c r="C14" s="319">
        <f>Data!K33</f>
        <v>55520.0</v>
      </c>
      <c r="D14" s="319">
        <f>ROUND(C14*Data!L33%,0)</f>
        <v>11115.0</v>
      </c>
      <c r="E14" s="319">
        <f t="shared" si="0"/>
        <v>4442.0</v>
      </c>
      <c r="F14" s="319">
        <f>Data!T113</f>
        <v>0.0</v>
      </c>
      <c r="G14" s="319">
        <f t="shared" si="5"/>
        <v>0.0</v>
      </c>
      <c r="H14" s="319">
        <f t="shared" si="6"/>
        <v>0.0</v>
      </c>
      <c r="I14" s="319">
        <v>0.0</v>
      </c>
      <c r="J14" s="319">
        <f>Data!Y113</f>
        <v>0.0</v>
      </c>
      <c r="K14" s="319">
        <f>Data!Z113</f>
        <v>0.0</v>
      </c>
      <c r="L14" s="319">
        <f t="shared" si="2"/>
        <v>71077.0</v>
      </c>
      <c r="M14" s="321">
        <f>IF(Data!$C$24="CPS",ROUND((C14+D14)*10/100,0),Data!R113)</f>
        <v>6664.0</v>
      </c>
      <c r="N14" s="319">
        <f>Data!S113</f>
        <v>1000.0</v>
      </c>
      <c r="O14" s="319">
        <f>Data!X113</f>
        <v>30.0</v>
      </c>
      <c r="P14" s="326">
        <f>IF(Data!$C$32="YES",0,IF(L14&gt;20000,200,150))</f>
        <v>200.0</v>
      </c>
      <c r="Q14" s="319">
        <f>Data!V113</f>
        <v>0.0</v>
      </c>
      <c r="R14" s="321">
        <f t="shared" si="7"/>
        <v>0.0</v>
      </c>
      <c r="S14" s="319"/>
      <c r="T14" s="319">
        <f>Data!W113</f>
        <v>225.0</v>
      </c>
      <c r="U14" s="319">
        <f t="shared" si="8"/>
        <v>0.0</v>
      </c>
      <c r="V14" s="319">
        <f>Data!H57</f>
        <v>0.0</v>
      </c>
      <c r="W14" s="321">
        <f t="shared" si="3"/>
        <v>8119.0</v>
      </c>
      <c r="X14" s="323">
        <f t="shared" si="4"/>
        <v>62958.0</v>
      </c>
      <c r="Y14" s="324">
        <f>Data!L33</f>
        <v>20.02</v>
      </c>
      <c r="Z14" s="325">
        <f>Data!M33</f>
        <v>8.0</v>
      </c>
      <c r="AA14" s="313"/>
      <c r="AB14" s="313"/>
    </row>
    <row r="15" spans="8:8">
      <c r="A15" s="319">
        <v>12.0</v>
      </c>
      <c r="B15" s="320" t="str">
        <f>Data!J34</f>
        <v>FEB22</v>
      </c>
      <c r="C15" s="319">
        <f>Data!K34</f>
        <v>55520.0</v>
      </c>
      <c r="D15" s="319">
        <f>ROUND(C15*Data!L34%,0)</f>
        <v>11115.0</v>
      </c>
      <c r="E15" s="319">
        <f t="shared" si="0"/>
        <v>4442.0</v>
      </c>
      <c r="F15" s="319">
        <f>Data!T114</f>
        <v>0.0</v>
      </c>
      <c r="G15" s="319">
        <f t="shared" si="5"/>
        <v>0.0</v>
      </c>
      <c r="H15" s="319">
        <f>H14</f>
        <v>0.0</v>
      </c>
      <c r="I15" s="319">
        <v>0.0</v>
      </c>
      <c r="J15" s="319">
        <f>Data!Y114</f>
        <v>0.0</v>
      </c>
      <c r="K15" s="319">
        <f>Data!Z114</f>
        <v>0.0</v>
      </c>
      <c r="L15" s="319">
        <f t="shared" si="2"/>
        <v>71077.0</v>
      </c>
      <c r="M15" s="321">
        <f>IF(Data!$C$24="CPS",ROUND((C15+D15)*10/100,0),Data!R114)</f>
        <v>6664.0</v>
      </c>
      <c r="N15" s="319">
        <f>Data!S114</f>
        <v>1000.0</v>
      </c>
      <c r="O15" s="319">
        <f>Data!X114</f>
        <v>30.0</v>
      </c>
      <c r="P15" s="326">
        <f>IF(Data!$C$32="YES",0,IF(L15&gt;20000,200,150))</f>
        <v>200.0</v>
      </c>
      <c r="Q15" s="319">
        <f>Data!V114</f>
        <v>0.0</v>
      </c>
      <c r="R15" s="321">
        <f t="shared" si="7"/>
        <v>0.0</v>
      </c>
      <c r="S15" s="319"/>
      <c r="T15" s="319">
        <f>Data!W114</f>
        <v>225.0</v>
      </c>
      <c r="U15" s="319">
        <f t="shared" si="8"/>
        <v>0.0</v>
      </c>
      <c r="V15" s="319">
        <f>Data!H58</f>
        <v>0.0</v>
      </c>
      <c r="W15" s="321">
        <f t="shared" si="3"/>
        <v>8119.0</v>
      </c>
      <c r="X15" s="323">
        <f t="shared" si="4"/>
        <v>62958.0</v>
      </c>
      <c r="Y15" s="324">
        <f>Data!L34</f>
        <v>20.02</v>
      </c>
      <c r="Z15" s="325">
        <f>Data!M34</f>
        <v>8.0</v>
      </c>
      <c r="AA15" s="313"/>
      <c r="AB15" s="313"/>
    </row>
    <row r="16" spans="8:8" ht="28.5" customHeight="1">
      <c r="A16" s="319">
        <v>13.0</v>
      </c>
      <c r="B16" s="327" t="s">
        <v>65</v>
      </c>
      <c r="C16" s="319"/>
      <c r="D16" s="319"/>
      <c r="E16" s="319"/>
      <c r="F16" s="319"/>
      <c r="G16" s="319"/>
      <c r="H16" s="319"/>
      <c r="I16" s="319"/>
      <c r="J16" s="319"/>
      <c r="K16" s="319"/>
      <c r="L16" s="319">
        <f>Data!R144</f>
        <v>0.0</v>
      </c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19">
        <f t="shared" si="3"/>
        <v>0.0</v>
      </c>
      <c r="X16" s="325">
        <f t="shared" si="4"/>
        <v>0.0</v>
      </c>
      <c r="Y16" s="328"/>
      <c r="Z16" s="328"/>
      <c r="AA16" s="313"/>
      <c r="AB16" s="313"/>
    </row>
    <row r="17" spans="8:8" ht="27.0">
      <c r="A17" s="319">
        <v>14.0</v>
      </c>
      <c r="B17" s="329" t="s">
        <v>715</v>
      </c>
      <c r="C17" s="314">
        <f>IF(Data!C38="YES",Data!U150,0)</f>
        <v>0.0</v>
      </c>
      <c r="D17" s="319">
        <f>IF(Data!C38="YES",Data!U151,0)</f>
        <v>0.0</v>
      </c>
      <c r="E17" s="319">
        <f>IF(Data!C38="YES",Data!U152,0)</f>
        <v>0.0</v>
      </c>
      <c r="F17" s="319">
        <v>0.0</v>
      </c>
      <c r="G17" s="319">
        <v>0.0</v>
      </c>
      <c r="H17" s="319">
        <v>0.0</v>
      </c>
      <c r="I17" s="319">
        <f>ROUND(C17*27%,0)</f>
        <v>0.0</v>
      </c>
      <c r="J17" s="319">
        <v>0.0</v>
      </c>
      <c r="K17" s="319">
        <v>0.0</v>
      </c>
      <c r="L17" s="319">
        <f t="shared" si="2"/>
        <v>0.0</v>
      </c>
      <c r="M17" s="319"/>
      <c r="N17" s="319"/>
      <c r="O17" s="319"/>
      <c r="P17" s="319"/>
      <c r="Q17" s="319"/>
      <c r="R17" s="319"/>
      <c r="S17" s="319"/>
      <c r="T17" s="319"/>
      <c r="U17" s="319"/>
      <c r="V17" s="319"/>
      <c r="W17" s="319">
        <f t="shared" si="3"/>
        <v>0.0</v>
      </c>
      <c r="X17" s="330">
        <f t="shared" si="4"/>
        <v>0.0</v>
      </c>
      <c r="Y17" s="328"/>
      <c r="Z17" s="328"/>
      <c r="AA17" s="313"/>
      <c r="AB17" s="313"/>
    </row>
    <row r="18" spans="8:8" ht="27.0">
      <c r="A18" s="319">
        <v>15.0</v>
      </c>
      <c r="B18" s="329" t="s">
        <v>717</v>
      </c>
      <c r="C18" s="314">
        <f>IF(Data!C40="YES",Data!U158,0)</f>
        <v>0.0</v>
      </c>
      <c r="D18" s="319">
        <f>IF(Data!C40="YES",Data!U159,0)</f>
        <v>0.0</v>
      </c>
      <c r="E18" s="319">
        <f>IF(Data!C40="YES",Data!U160,0)</f>
        <v>0.0</v>
      </c>
      <c r="F18" s="319">
        <v>0.0</v>
      </c>
      <c r="G18" s="319">
        <v>0.0</v>
      </c>
      <c r="H18" s="319">
        <v>0.0</v>
      </c>
      <c r="I18" s="319">
        <f>ROUND(C18*27%,0)</f>
        <v>0.0</v>
      </c>
      <c r="J18" s="319">
        <v>0.0</v>
      </c>
      <c r="K18" s="319">
        <v>0.0</v>
      </c>
      <c r="L18" s="319">
        <f t="shared" si="2"/>
        <v>0.0</v>
      </c>
      <c r="M18" s="319"/>
      <c r="N18" s="319"/>
      <c r="O18" s="319"/>
      <c r="P18" s="319"/>
      <c r="Q18" s="319"/>
      <c r="R18" s="319"/>
      <c r="S18" s="319"/>
      <c r="T18" s="319"/>
      <c r="U18" s="319"/>
      <c r="V18" s="319"/>
      <c r="W18" s="319">
        <f t="shared" si="3"/>
        <v>0.0</v>
      </c>
      <c r="X18" s="330">
        <f t="shared" si="4"/>
        <v>0.0</v>
      </c>
      <c r="Y18" s="328"/>
      <c r="Z18" s="328"/>
      <c r="AA18" s="313"/>
      <c r="AB18" s="313"/>
    </row>
    <row r="19" spans="8:8" ht="20.25" customHeight="1">
      <c r="A19" s="319">
        <v>16.0</v>
      </c>
      <c r="B19" s="331" t="str">
        <f>Data!B57</f>
        <v>DA Arrears</v>
      </c>
      <c r="C19" s="332">
        <v>0.0</v>
      </c>
      <c r="D19" s="321">
        <f>Data!C57</f>
        <v>0.0</v>
      </c>
      <c r="E19" s="313"/>
      <c r="F19" s="319">
        <v>0.0</v>
      </c>
      <c r="G19" s="319"/>
      <c r="H19" s="319">
        <v>0.0</v>
      </c>
      <c r="I19" s="319">
        <v>0.0</v>
      </c>
      <c r="J19" s="319">
        <v>0.0</v>
      </c>
      <c r="K19" s="319">
        <v>0.0</v>
      </c>
      <c r="L19" s="319">
        <f>SUM(C19:K19)</f>
        <v>0.0</v>
      </c>
      <c r="M19" s="333">
        <f>Data!D57</f>
        <v>0.0</v>
      </c>
      <c r="N19" s="319"/>
      <c r="O19" s="319"/>
      <c r="P19" s="319">
        <v>0.0</v>
      </c>
      <c r="Q19" s="319"/>
      <c r="R19" s="319">
        <v>0.0</v>
      </c>
      <c r="S19" s="319"/>
      <c r="T19" s="319"/>
      <c r="U19" s="319"/>
      <c r="V19" s="319"/>
      <c r="W19" s="321">
        <f t="shared" si="3"/>
        <v>0.0</v>
      </c>
      <c r="X19" s="334">
        <f t="shared" si="4"/>
        <v>0.0</v>
      </c>
      <c r="Y19" s="328"/>
      <c r="Z19" s="328"/>
      <c r="AA19" s="313"/>
      <c r="AB19" s="313"/>
    </row>
    <row r="20" spans="8:8" ht="21.75" customHeight="1">
      <c r="A20" s="319">
        <v>17.0</v>
      </c>
      <c r="B20" s="331" t="s">
        <v>556</v>
      </c>
      <c r="C20" s="332"/>
      <c r="D20" s="321"/>
      <c r="E20" s="319"/>
      <c r="F20" s="319"/>
      <c r="G20" s="319"/>
      <c r="H20" s="319"/>
      <c r="I20" s="319"/>
      <c r="J20" s="319"/>
      <c r="K20" s="319"/>
      <c r="L20" s="319">
        <f>Data!C58</f>
        <v>0.0</v>
      </c>
      <c r="M20" s="333">
        <f>Data!D58</f>
        <v>0.0</v>
      </c>
      <c r="N20" s="319"/>
      <c r="O20" s="319"/>
      <c r="P20" s="319"/>
      <c r="Q20" s="319"/>
      <c r="R20" s="319"/>
      <c r="S20" s="319"/>
      <c r="T20" s="319"/>
      <c r="U20" s="319"/>
      <c r="V20" s="319"/>
      <c r="W20" s="321">
        <f t="shared" si="3"/>
        <v>0.0</v>
      </c>
      <c r="X20" s="334">
        <f>L20-M20</f>
        <v>0.0</v>
      </c>
      <c r="Y20" s="328"/>
      <c r="Z20" s="328"/>
      <c r="AA20" s="313"/>
      <c r="AB20" s="313"/>
    </row>
    <row r="21" spans="8:8">
      <c r="A21" s="319">
        <v>18.0</v>
      </c>
      <c r="B21" s="335" t="s">
        <v>542</v>
      </c>
      <c r="C21" s="332"/>
      <c r="D21" s="332"/>
      <c r="E21" s="332">
        <f>IF(NOT(Data!G23="No change"),Data!AC152,0)</f>
        <v>0.0</v>
      </c>
      <c r="F21" s="319"/>
      <c r="G21" s="319"/>
      <c r="H21" s="319"/>
      <c r="I21" s="319"/>
      <c r="J21" s="319"/>
      <c r="K21" s="319"/>
      <c r="L21" s="319">
        <f>SUM(C21:K21)</f>
        <v>0.0</v>
      </c>
      <c r="M21" s="319"/>
      <c r="N21" s="319"/>
      <c r="O21" s="319"/>
      <c r="P21" s="319">
        <v>0.0</v>
      </c>
      <c r="Q21" s="319"/>
      <c r="R21" s="319"/>
      <c r="S21" s="319"/>
      <c r="T21" s="319"/>
      <c r="U21" s="319"/>
      <c r="V21" s="319"/>
      <c r="W21" s="319">
        <f t="shared" si="3"/>
        <v>0.0</v>
      </c>
      <c r="X21" s="330">
        <f t="shared" si="4"/>
        <v>0.0</v>
      </c>
      <c r="Y21" s="328"/>
      <c r="Z21" s="328"/>
      <c r="AA21" s="313"/>
      <c r="AB21" s="313"/>
    </row>
    <row r="22" spans="8:8">
      <c r="A22" s="319">
        <v>19.0</v>
      </c>
      <c r="B22" s="336"/>
      <c r="C22" s="332">
        <f>IF(Data!E60="YES",Data!B64,0)</f>
        <v>0.0</v>
      </c>
      <c r="D22" s="321">
        <f>IF(Data!E60="YES",Data!C64,0)</f>
        <v>0.0</v>
      </c>
      <c r="E22" s="319">
        <f>IF(Data!E60="YES",Data!D64,0)</f>
        <v>0.0</v>
      </c>
      <c r="F22" s="319"/>
      <c r="G22" s="319"/>
      <c r="H22" s="319"/>
      <c r="I22" s="319"/>
      <c r="J22" s="319">
        <f>IF(Data!E60="YES",Data!E64,0)</f>
        <v>0.0</v>
      </c>
      <c r="K22" s="319"/>
      <c r="L22" s="319">
        <f>IF(Data!E60="YES",Data!G64,Data!C62)</f>
        <v>0.0</v>
      </c>
      <c r="M22" s="319">
        <f>IF(Data!E60="YES",Data!I64,Data!D62)</f>
        <v>0.0</v>
      </c>
      <c r="N22" s="319"/>
      <c r="O22" s="319"/>
      <c r="P22" s="319">
        <f>IF(Data!E60="YES",Data!H64,0)</f>
        <v>0.0</v>
      </c>
      <c r="Q22" s="319"/>
      <c r="R22" s="319"/>
      <c r="S22" s="319"/>
      <c r="T22" s="319"/>
      <c r="U22" s="319"/>
      <c r="V22" s="319"/>
      <c r="W22" s="319">
        <f t="shared" si="3"/>
        <v>0.0</v>
      </c>
      <c r="X22" s="330">
        <f t="shared" si="4"/>
        <v>0.0</v>
      </c>
      <c r="Y22" s="328"/>
      <c r="Z22" s="328"/>
      <c r="AA22" s="313"/>
      <c r="AB22" s="313"/>
    </row>
    <row r="23" spans="8:8">
      <c r="A23" s="337" t="s">
        <v>66</v>
      </c>
      <c r="B23" s="338"/>
      <c r="C23" s="339">
        <f t="shared" si="10" ref="C23:K23">SUM(C4:C22)</f>
        <v>495430.0</v>
      </c>
      <c r="D23" s="339">
        <f t="shared" si="10"/>
        <v>146342.0</v>
      </c>
      <c r="E23" s="339">
        <f t="shared" si="10"/>
        <v>55013.0</v>
      </c>
      <c r="F23" s="339">
        <f t="shared" si="10"/>
        <v>0.0</v>
      </c>
      <c r="G23" s="339">
        <f t="shared" si="10"/>
        <v>0.0</v>
      </c>
      <c r="H23" s="339">
        <f t="shared" si="10"/>
        <v>0.0</v>
      </c>
      <c r="I23" s="339">
        <f t="shared" si="10"/>
        <v>103784.0</v>
      </c>
      <c r="J23" s="339">
        <f t="shared" si="10"/>
        <v>0.0</v>
      </c>
      <c r="K23" s="339">
        <f t="shared" si="10"/>
        <v>0.0</v>
      </c>
      <c r="L23" s="339">
        <f>SUM(L4:L22)</f>
        <v>800569.0</v>
      </c>
      <c r="M23" s="339">
        <f t="shared" si="11" ref="M23:W23">SUM(M4:M22)</f>
        <v>64179.0</v>
      </c>
      <c r="N23" s="339">
        <f t="shared" si="11"/>
        <v>12000.0</v>
      </c>
      <c r="O23" s="339">
        <f t="shared" si="11"/>
        <v>360.0</v>
      </c>
      <c r="P23" s="339">
        <f t="shared" si="11"/>
        <v>2400.0</v>
      </c>
      <c r="Q23" s="339">
        <f t="shared" si="11"/>
        <v>0.0</v>
      </c>
      <c r="R23" s="339">
        <f t="shared" si="11"/>
        <v>0.0</v>
      </c>
      <c r="S23" s="339">
        <f t="shared" si="11"/>
        <v>70.0</v>
      </c>
      <c r="T23" s="339">
        <f t="shared" si="11"/>
        <v>2430.0</v>
      </c>
      <c r="U23" s="339">
        <f t="shared" si="11"/>
        <v>0.0</v>
      </c>
      <c r="V23" s="339">
        <f t="shared" si="11"/>
        <v>0.0</v>
      </c>
      <c r="W23" s="339">
        <f t="shared" si="11"/>
        <v>81439.0</v>
      </c>
      <c r="X23" s="340">
        <f t="shared" si="4"/>
        <v>719130.0</v>
      </c>
      <c r="Y23" s="328"/>
      <c r="Z23" s="328"/>
      <c r="AA23" s="313"/>
      <c r="AB23" s="313"/>
    </row>
    <row r="24" spans="8:8">
      <c r="A24" s="313"/>
      <c r="B24" s="313"/>
      <c r="C24" s="313"/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</row>
    <row r="25" spans="8:8">
      <c r="A25" s="313"/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</row>
    <row r="26" spans="8:8">
      <c r="A26" s="313"/>
      <c r="B26" s="313"/>
      <c r="C26" s="313"/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</row>
    <row r="27" spans="8:8">
      <c r="A27" s="313"/>
      <c r="B27" s="313"/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</row>
    <row r="28" spans="8:8">
      <c r="A28" s="341"/>
      <c r="B28" s="341"/>
      <c r="C28" s="342" t="s">
        <v>67</v>
      </c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3" t="s">
        <v>68</v>
      </c>
      <c r="R28" s="343"/>
      <c r="S28" s="343"/>
      <c r="T28" s="343"/>
      <c r="U28" s="343"/>
      <c r="V28" s="343"/>
      <c r="W28" s="343"/>
      <c r="X28" s="313"/>
      <c r="Y28" s="313"/>
      <c r="Z28" s="313"/>
      <c r="AA28" s="313"/>
      <c r="AB28" s="313"/>
    </row>
    <row r="29" spans="8:8">
      <c r="A29" s="344"/>
      <c r="B29" s="344"/>
      <c r="C29" s="313"/>
      <c r="D29" s="313"/>
      <c r="E29" s="313"/>
      <c r="F29" s="313"/>
      <c r="G29" s="313"/>
      <c r="H29" s="313"/>
      <c r="I29" s="345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</row>
  </sheetData>
  <mergeCells count="3">
    <mergeCell ref="A23:B23"/>
    <mergeCell ref="Q28:W28"/>
    <mergeCell ref="A1:X1"/>
  </mergeCells>
  <printOptions horizontalCentered="1" verticalCentered="1"/>
  <pageMargins left="0.354330708661417" right="0.236220472440945" top="0.354330708661417" bottom="0.354330708661417" header="0.31496062992126" footer="0.31496062992126"/>
  <pageSetup paperSize="9" scale="90" orientation="landscape"/>
  <headerFooter>
    <oddFooter>&amp;C&amp;8STUAP, KADAPA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FFFF00"/>
  </sheetPr>
  <dimension ref="A1:R73"/>
  <sheetViews>
    <sheetView workbookViewId="0" showGridLines="0" showRowColHeaders="0">
      <selection activeCell="A2" sqref="A2:L2"/>
    </sheetView>
  </sheetViews>
  <sheetFormatPr defaultRowHeight="15.0" defaultColWidth="10"/>
  <cols>
    <col min="1" max="1" customWidth="1" width="4.8554688" style="313"/>
    <col min="2" max="2" customWidth="1" width="4.140625" style="313"/>
    <col min="3" max="3" customWidth="1" width="6.140625" style="313"/>
    <col min="4" max="4" customWidth="1" width="7.5703125" style="313"/>
    <col min="5" max="5" customWidth="1" width="10.7109375" style="313"/>
    <col min="6" max="6" customWidth="1" width="5.7109375" style="313"/>
    <col min="7" max="7" customWidth="1" width="12.285156" style="313"/>
    <col min="8" max="8" customWidth="1" width="9.855469" style="313"/>
    <col min="9" max="9" customWidth="1" width="4.7109375" style="313"/>
    <col min="10" max="10" customWidth="1" width="0.28515625" style="313"/>
    <col min="11" max="11" customWidth="1" width="16.710938" style="313"/>
    <col min="12" max="12" customWidth="1" width="20.285156" style="313"/>
    <col min="13" max="13" customWidth="0" width="9.140625" style="313"/>
    <col min="14" max="14" customWidth="1" width="11.0" style="313"/>
    <col min="15" max="16384" customWidth="0" width="9.140625" style="313"/>
  </cols>
  <sheetData>
    <row r="1" spans="8:8" ht="14.25" customHeight="1">
      <c r="A1" s="346" t="s">
        <v>84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8"/>
    </row>
    <row r="2" spans="8:8" ht="17.25" customHeight="1">
      <c r="A2" s="349" t="s">
        <v>695</v>
      </c>
      <c r="B2" s="350"/>
      <c r="C2" s="350"/>
      <c r="D2" s="350"/>
      <c r="E2" s="350"/>
      <c r="F2" s="350"/>
      <c r="G2" s="350"/>
      <c r="H2" s="350"/>
      <c r="I2" s="350"/>
      <c r="J2" s="350"/>
      <c r="K2" s="351"/>
      <c r="L2" s="352"/>
    </row>
    <row r="3" spans="8:8" ht="16.5">
      <c r="A3" s="353" t="s">
        <v>0</v>
      </c>
      <c r="B3" s="354"/>
      <c r="C3" s="355" t="str">
        <f>Data!D4</f>
        <v>P. Pothan Prasad</v>
      </c>
      <c r="D3" s="355"/>
      <c r="E3" s="355"/>
      <c r="F3" s="356" t="s">
        <v>85</v>
      </c>
      <c r="G3" s="357" t="str">
        <f>Data!D8</f>
        <v>M.P.P.School</v>
      </c>
      <c r="H3" s="357"/>
      <c r="I3" s="357"/>
      <c r="J3" s="358"/>
      <c r="K3" s="359" t="str">
        <f>Data!D9</f>
        <v>N.R.Palle</v>
      </c>
      <c r="L3" s="360"/>
    </row>
    <row r="4" spans="8:8">
      <c r="A4" s="361" t="s">
        <v>6</v>
      </c>
      <c r="B4" s="362"/>
      <c r="C4" s="362"/>
      <c r="D4" s="363" t="str">
        <f>Data!D7</f>
        <v>SGT</v>
      </c>
      <c r="E4" s="363"/>
      <c r="F4" s="364" t="s">
        <v>86</v>
      </c>
      <c r="G4" s="365">
        <f>Data!D5</f>
        <v>1234567.0</v>
      </c>
      <c r="H4" s="366" t="s">
        <v>3</v>
      </c>
      <c r="I4" s="366"/>
      <c r="J4" s="366"/>
      <c r="K4" s="367" t="str">
        <f>Data!D10</f>
        <v>Pengalur</v>
      </c>
      <c r="L4" s="368"/>
    </row>
    <row r="5" spans="8:8">
      <c r="A5" s="369">
        <v>1.0</v>
      </c>
      <c r="B5" s="370" t="s">
        <v>87</v>
      </c>
      <c r="C5" s="371"/>
      <c r="D5" s="372" t="str">
        <f>Data!D12</f>
        <v>Rented house</v>
      </c>
      <c r="E5" s="372"/>
      <c r="F5" s="371"/>
      <c r="G5" s="373" t="s">
        <v>88</v>
      </c>
      <c r="H5" s="373"/>
      <c r="I5" s="373"/>
      <c r="J5" s="374"/>
      <c r="K5" s="375" t="str">
        <f>Data!D6</f>
        <v>AZKABC2307</v>
      </c>
      <c r="L5" s="376"/>
    </row>
    <row r="6" spans="8:8" ht="14.25" customHeight="1">
      <c r="A6" s="369">
        <v>2.0</v>
      </c>
      <c r="B6" s="377" t="s">
        <v>89</v>
      </c>
      <c r="C6" s="378"/>
      <c r="D6" s="378"/>
      <c r="E6" s="378"/>
      <c r="F6" s="378"/>
      <c r="G6" s="378"/>
      <c r="H6" s="378"/>
      <c r="I6" s="379" t="s">
        <v>90</v>
      </c>
      <c r="J6" s="380"/>
      <c r="K6" s="381"/>
      <c r="L6" s="382">
        <f>'ANNEXURE I'!L23</f>
        <v>800569.0</v>
      </c>
    </row>
    <row r="7" spans="8:8" ht="12.0" customHeight="1">
      <c r="A7" s="369">
        <v>3.0</v>
      </c>
      <c r="B7" s="383" t="s">
        <v>91</v>
      </c>
      <c r="C7" s="384"/>
      <c r="D7" s="384"/>
      <c r="E7" s="384"/>
      <c r="F7" s="384"/>
      <c r="G7" s="384"/>
      <c r="H7" s="384"/>
      <c r="I7" s="385"/>
      <c r="J7" s="386"/>
      <c r="K7" s="387"/>
      <c r="L7" s="382"/>
    </row>
    <row r="8" spans="8:8" ht="14.1" customHeight="1">
      <c r="A8" s="369"/>
      <c r="B8" s="388" t="s">
        <v>92</v>
      </c>
      <c r="C8" s="389" t="s">
        <v>93</v>
      </c>
      <c r="D8" s="389"/>
      <c r="E8" s="389"/>
      <c r="F8" s="389"/>
      <c r="G8" s="389"/>
      <c r="H8" s="389"/>
      <c r="I8" s="390" t="s">
        <v>90</v>
      </c>
      <c r="J8" s="391"/>
      <c r="K8" s="392">
        <f>'ANNEXURE I'!E23</f>
        <v>55013.0</v>
      </c>
      <c r="L8" s="382"/>
    </row>
    <row r="9" spans="8:8" ht="14.1" customHeight="1">
      <c r="A9" s="369"/>
      <c r="B9" s="388" t="s">
        <v>94</v>
      </c>
      <c r="C9" s="393" t="s">
        <v>95</v>
      </c>
      <c r="D9" s="393"/>
      <c r="E9" s="393"/>
      <c r="F9" s="393"/>
      <c r="G9" s="393" t="s">
        <v>96</v>
      </c>
      <c r="H9" s="394">
        <f>Data!M9</f>
        <v>7000.0</v>
      </c>
      <c r="I9" s="390" t="s">
        <v>90</v>
      </c>
      <c r="J9" s="391"/>
      <c r="K9" s="392">
        <f>IF(H9=0,0,Data!S166)</f>
        <v>19823.0</v>
      </c>
      <c r="L9" s="382"/>
      <c r="O9" s="395"/>
    </row>
    <row r="10" spans="8:8" ht="14.1" customHeight="1">
      <c r="A10" s="369"/>
      <c r="B10" s="388" t="s">
        <v>97</v>
      </c>
      <c r="C10" s="393" t="s">
        <v>98</v>
      </c>
      <c r="D10" s="393"/>
      <c r="E10" s="393"/>
      <c r="F10" s="393"/>
      <c r="G10" s="393"/>
      <c r="H10" s="393"/>
      <c r="I10" s="390" t="s">
        <v>90</v>
      </c>
      <c r="J10" s="391"/>
      <c r="K10" s="392">
        <f>Data!T164</f>
        <v>256709.0</v>
      </c>
      <c r="L10" s="396">
        <f>MIN(K8,K9,K10)</f>
        <v>19823.0</v>
      </c>
    </row>
    <row r="11" spans="8:8" ht="14.25" customHeight="1">
      <c r="A11" s="369">
        <v>4.0</v>
      </c>
      <c r="B11" s="377" t="s">
        <v>99</v>
      </c>
      <c r="C11" s="378"/>
      <c r="D11" s="378"/>
      <c r="E11" s="378"/>
      <c r="F11" s="378"/>
      <c r="G11" s="378"/>
      <c r="H11" s="378"/>
      <c r="I11" s="385" t="s">
        <v>90</v>
      </c>
      <c r="J11" s="386"/>
      <c r="K11" s="387"/>
      <c r="L11" s="397">
        <f>L6-L10</f>
        <v>780746.0</v>
      </c>
    </row>
    <row r="12" spans="8:8" ht="15.75">
      <c r="A12" s="369">
        <v>5.0</v>
      </c>
      <c r="B12" s="377" t="s">
        <v>100</v>
      </c>
      <c r="C12" s="378"/>
      <c r="D12" s="378"/>
      <c r="E12" s="378"/>
      <c r="F12" s="378"/>
      <c r="G12" s="378"/>
      <c r="H12" s="378"/>
      <c r="I12" s="385"/>
      <c r="J12" s="386"/>
      <c r="K12" s="387"/>
      <c r="L12" s="382"/>
    </row>
    <row r="13" spans="8:8" ht="14.1" customHeight="1">
      <c r="A13" s="369"/>
      <c r="B13" s="388" t="s">
        <v>92</v>
      </c>
      <c r="C13" s="398" t="s">
        <v>101</v>
      </c>
      <c r="D13" s="398"/>
      <c r="E13" s="398"/>
      <c r="F13" s="398"/>
      <c r="G13" s="398"/>
      <c r="H13" s="398"/>
      <c r="I13" s="390" t="s">
        <v>90</v>
      </c>
      <c r="J13" s="391"/>
      <c r="K13" s="392">
        <f>'ANNEXURE I'!K23</f>
        <v>0.0</v>
      </c>
      <c r="L13" s="382"/>
    </row>
    <row r="14" spans="8:8" ht="14.1" customHeight="1">
      <c r="A14" s="369"/>
      <c r="B14" s="388" t="s">
        <v>94</v>
      </c>
      <c r="C14" s="399" t="s">
        <v>102</v>
      </c>
      <c r="D14" s="399"/>
      <c r="E14" s="399"/>
      <c r="F14" s="399"/>
      <c r="G14" s="399"/>
      <c r="H14" s="400"/>
      <c r="I14" s="390" t="s">
        <v>90</v>
      </c>
      <c r="J14" s="391"/>
      <c r="K14" s="392">
        <f>'ANNEXURE I'!P23</f>
        <v>2400.0</v>
      </c>
      <c r="L14" s="401"/>
    </row>
    <row r="15" spans="8:8" ht="14.1" customHeight="1">
      <c r="A15" s="369"/>
      <c r="B15" s="402" t="s">
        <v>97</v>
      </c>
      <c r="C15" s="403" t="s">
        <v>429</v>
      </c>
      <c r="I15" s="390" t="s">
        <v>90</v>
      </c>
      <c r="J15" s="404"/>
      <c r="K15" s="405"/>
      <c r="L15" s="406"/>
      <c r="N15" s="407"/>
    </row>
    <row r="16" spans="8:8" ht="14.1" customHeight="1">
      <c r="A16" s="369"/>
      <c r="B16" s="402" t="s">
        <v>108</v>
      </c>
      <c r="C16" s="408" t="s">
        <v>557</v>
      </c>
      <c r="D16" s="408"/>
      <c r="E16" s="408"/>
      <c r="F16" s="408"/>
      <c r="G16" s="408"/>
      <c r="I16" s="390" t="s">
        <v>90</v>
      </c>
      <c r="J16" s="404"/>
      <c r="K16" s="392">
        <v>50000.0</v>
      </c>
      <c r="L16" s="396">
        <f>K13+K14+K15+K16</f>
        <v>52400.0</v>
      </c>
      <c r="N16" s="407"/>
    </row>
    <row r="17" spans="8:8" ht="16.5">
      <c r="A17" s="369">
        <v>6.0</v>
      </c>
      <c r="B17" s="377" t="s">
        <v>103</v>
      </c>
      <c r="C17" s="378"/>
      <c r="D17" s="378"/>
      <c r="E17" s="378"/>
      <c r="F17" s="378"/>
      <c r="G17" s="378"/>
      <c r="H17" s="378"/>
      <c r="I17" s="390" t="s">
        <v>90</v>
      </c>
      <c r="J17" s="391"/>
      <c r="K17" s="392"/>
      <c r="L17" s="409">
        <f>L11-L16</f>
        <v>728346.0</v>
      </c>
      <c r="N17" s="407"/>
    </row>
    <row r="18" spans="8:8" ht="14.1" customHeight="1">
      <c r="A18" s="369">
        <v>7.0</v>
      </c>
      <c r="B18" s="410" t="s">
        <v>104</v>
      </c>
      <c r="C18" s="389"/>
      <c r="D18" s="389"/>
      <c r="E18" s="389"/>
      <c r="F18" s="389"/>
      <c r="G18" s="389"/>
      <c r="H18" s="389"/>
      <c r="I18" s="390" t="s">
        <v>90</v>
      </c>
      <c r="J18" s="391"/>
      <c r="K18" s="392"/>
      <c r="L18" s="382">
        <v>0.0</v>
      </c>
    </row>
    <row r="19" spans="8:8" ht="14.1" customHeight="1">
      <c r="A19" s="369">
        <v>8.0</v>
      </c>
      <c r="B19" s="410" t="s">
        <v>105</v>
      </c>
      <c r="C19" s="389"/>
      <c r="D19" s="389"/>
      <c r="E19" s="389"/>
      <c r="F19" s="389"/>
      <c r="G19" s="389"/>
      <c r="H19" s="389"/>
      <c r="I19" s="390" t="s">
        <v>90</v>
      </c>
      <c r="J19" s="391"/>
      <c r="K19" s="392"/>
      <c r="L19" s="382">
        <v>0.0</v>
      </c>
    </row>
    <row r="20" spans="8:8" ht="14.1" customHeight="1">
      <c r="A20" s="369">
        <v>9.0</v>
      </c>
      <c r="B20" s="410" t="s">
        <v>106</v>
      </c>
      <c r="C20" s="389"/>
      <c r="D20" s="389"/>
      <c r="E20" s="389"/>
      <c r="F20" s="389"/>
      <c r="G20" s="389"/>
      <c r="H20" s="389"/>
      <c r="I20" s="390" t="s">
        <v>90</v>
      </c>
      <c r="J20" s="391"/>
      <c r="K20" s="392">
        <v>0.0</v>
      </c>
      <c r="L20" s="396">
        <v>0.0</v>
      </c>
    </row>
    <row r="21" spans="8:8" ht="15.75">
      <c r="A21" s="369">
        <v>10.0</v>
      </c>
      <c r="B21" s="377" t="s">
        <v>558</v>
      </c>
      <c r="C21" s="378"/>
      <c r="D21" s="378"/>
      <c r="E21" s="378"/>
      <c r="F21" s="378"/>
      <c r="G21" s="378"/>
      <c r="H21" s="378"/>
      <c r="I21" s="390" t="s">
        <v>90</v>
      </c>
      <c r="J21" s="391"/>
      <c r="K21" s="392"/>
      <c r="L21" s="397">
        <f>SUM(L17:L20)</f>
        <v>728346.0</v>
      </c>
    </row>
    <row r="22" spans="8:8" ht="15.75">
      <c r="A22" s="369">
        <v>11.0</v>
      </c>
      <c r="B22" s="377" t="s">
        <v>107</v>
      </c>
      <c r="C22" s="378"/>
      <c r="D22" s="378"/>
      <c r="E22" s="378"/>
      <c r="F22" s="378"/>
      <c r="G22" s="378"/>
      <c r="H22" s="378"/>
      <c r="I22" s="385"/>
      <c r="J22" s="386"/>
      <c r="K22" s="387"/>
      <c r="L22" s="382"/>
    </row>
    <row r="23" spans="8:8" ht="14.1" customHeight="1">
      <c r="A23" s="369"/>
      <c r="B23" s="388" t="s">
        <v>92</v>
      </c>
      <c r="C23" s="411" t="str">
        <f>CONCATENATE(Data!B66," ",Data!D66)</f>
        <v>80DDB Expenditure on Medical Treatment S.Citizen</v>
      </c>
      <c r="D23" s="411"/>
      <c r="E23" s="411"/>
      <c r="F23" s="411"/>
      <c r="G23" s="411"/>
      <c r="H23" s="412"/>
      <c r="I23" s="413" t="s">
        <v>90</v>
      </c>
      <c r="J23" s="414"/>
      <c r="K23" s="415">
        <f>Data!G66</f>
        <v>0.0</v>
      </c>
      <c r="L23" s="382">
        <f>K23</f>
        <v>0.0</v>
      </c>
    </row>
    <row r="24" spans="8:8" ht="14.1" customHeight="1">
      <c r="A24" s="369"/>
      <c r="B24" s="388" t="s">
        <v>94</v>
      </c>
      <c r="C24" s="411" t="str">
        <f>CONCATENATE(Data!B67," ",Data!D67)</f>
        <v>80D Preventive Health Checkup  Dependent Parents</v>
      </c>
      <c r="D24" s="411"/>
      <c r="E24" s="411"/>
      <c r="F24" s="411"/>
      <c r="G24" s="411"/>
      <c r="H24" s="412"/>
      <c r="I24" s="413" t="s">
        <v>90</v>
      </c>
      <c r="J24" s="414"/>
      <c r="K24" s="415">
        <f>Data!G67</f>
        <v>0.0</v>
      </c>
      <c r="L24" s="382">
        <f t="shared" si="0" ref="L24:L26">K24</f>
        <v>0.0</v>
      </c>
    </row>
    <row r="25" spans="8:8" ht="14.1" customHeight="1">
      <c r="A25" s="369"/>
      <c r="B25" s="388" t="s">
        <v>97</v>
      </c>
      <c r="C25" s="411" t="str">
        <f>CONCATENATE(Data!B68," ",Data!D68)</f>
        <v>80D Medical Insurance Premium  Spouse</v>
      </c>
      <c r="D25" s="411"/>
      <c r="E25" s="411"/>
      <c r="F25" s="411"/>
      <c r="G25" s="411"/>
      <c r="H25" s="412"/>
      <c r="I25" s="413" t="s">
        <v>90</v>
      </c>
      <c r="J25" s="414"/>
      <c r="K25" s="415">
        <f>Data!G68</f>
        <v>0.0</v>
      </c>
      <c r="L25" s="382">
        <f t="shared" si="0"/>
        <v>0.0</v>
      </c>
    </row>
    <row r="26" spans="8:8" ht="14.1" customHeight="1">
      <c r="A26" s="369"/>
      <c r="B26" s="388" t="s">
        <v>108</v>
      </c>
      <c r="C26" s="411" t="str">
        <f>CONCATENATE(Data!B69," ",Data!D69)</f>
        <v>80G Donation of Charitable Trust Charitable Trust</v>
      </c>
      <c r="D26" s="411"/>
      <c r="E26" s="411"/>
      <c r="F26" s="411"/>
      <c r="G26" s="411"/>
      <c r="H26" s="412"/>
      <c r="I26" s="413" t="s">
        <v>90</v>
      </c>
      <c r="J26" s="414"/>
      <c r="K26" s="415">
        <f>Data!G69</f>
        <v>0.0</v>
      </c>
      <c r="L26" s="382">
        <f t="shared" si="0"/>
        <v>0.0</v>
      </c>
    </row>
    <row r="27" spans="8:8" ht="14.1" customHeight="1">
      <c r="A27" s="369"/>
      <c r="B27" s="416" t="s">
        <v>109</v>
      </c>
      <c r="C27" s="417" t="s">
        <v>570</v>
      </c>
      <c r="D27" s="417"/>
      <c r="E27" s="417"/>
      <c r="F27" s="417"/>
      <c r="G27" s="417"/>
      <c r="H27" s="418"/>
      <c r="I27" s="413" t="s">
        <v>90</v>
      </c>
      <c r="J27" s="414"/>
      <c r="K27" s="415">
        <f>'ANNEXURE I'!U23</f>
        <v>0.0</v>
      </c>
      <c r="L27" s="382">
        <f>K27</f>
        <v>0.0</v>
      </c>
    </row>
    <row r="28" spans="8:8" ht="14.1" customHeight="1">
      <c r="A28" s="369"/>
      <c r="B28" s="388" t="s">
        <v>110</v>
      </c>
      <c r="C28" s="411" t="str">
        <f>Data!B72</f>
        <v>80U Deduction for disabled person &gt;40%</v>
      </c>
      <c r="D28" s="411"/>
      <c r="E28" s="411"/>
      <c r="F28" s="411"/>
      <c r="G28" s="411"/>
      <c r="H28" s="412"/>
      <c r="I28" s="413" t="s">
        <v>90</v>
      </c>
      <c r="J28" s="414"/>
      <c r="K28" s="415">
        <f>Data!E72</f>
        <v>0.0</v>
      </c>
      <c r="L28" s="382">
        <f>K28</f>
        <v>0.0</v>
      </c>
    </row>
    <row r="29" spans="8:8" ht="14.1" customHeight="1">
      <c r="A29" s="369"/>
      <c r="B29" s="388" t="s">
        <v>111</v>
      </c>
      <c r="C29" s="411" t="str">
        <f>CONCATENATE(Data!B71," ",Data!D71)</f>
        <v>80D Deduction for Disabled dependent NotApplicable</v>
      </c>
      <c r="D29" s="411"/>
      <c r="E29" s="411"/>
      <c r="F29" s="411"/>
      <c r="G29" s="411"/>
      <c r="H29" s="412"/>
      <c r="I29" s="413" t="s">
        <v>90</v>
      </c>
      <c r="J29" s="419"/>
      <c r="K29" s="415">
        <f>Data!E71</f>
        <v>0.0</v>
      </c>
      <c r="L29" s="382">
        <f>K29</f>
        <v>0.0</v>
      </c>
    </row>
    <row r="30" spans="8:8" ht="14.1" customHeight="1">
      <c r="A30" s="369"/>
      <c r="B30" s="388" t="s">
        <v>113</v>
      </c>
      <c r="C30" s="411" t="s">
        <v>112</v>
      </c>
      <c r="D30" s="411"/>
      <c r="E30" s="411"/>
      <c r="F30" s="411"/>
      <c r="G30" s="411"/>
      <c r="H30" s="412"/>
      <c r="I30" s="413" t="s">
        <v>90</v>
      </c>
      <c r="J30" s="419"/>
      <c r="K30" s="415">
        <f>Data!E73</f>
        <v>0.0</v>
      </c>
      <c r="L30" s="382">
        <f>K30</f>
        <v>0.0</v>
      </c>
    </row>
    <row r="31" spans="8:8" ht="14.1" customHeight="1">
      <c r="A31" s="369"/>
      <c r="B31" s="388" t="s">
        <v>114</v>
      </c>
      <c r="C31" s="420" t="str">
        <f>Data!B70</f>
        <v>24B Interest of Housing Loan</v>
      </c>
      <c r="D31" s="420"/>
      <c r="E31" s="420"/>
      <c r="F31" s="420"/>
      <c r="G31" s="420"/>
      <c r="H31" s="421"/>
      <c r="I31" s="422" t="s">
        <v>90</v>
      </c>
      <c r="J31" s="419"/>
      <c r="K31" s="423">
        <f>Data!E70</f>
        <v>0.0</v>
      </c>
      <c r="L31" s="382">
        <f>IF(K31&gt;200000,200000,K31)</f>
        <v>0.0</v>
      </c>
    </row>
    <row r="32" spans="8:8" ht="14.1" customHeight="1">
      <c r="A32" s="369"/>
      <c r="B32" s="388" t="s">
        <v>115</v>
      </c>
      <c r="C32" s="424" t="s">
        <v>435</v>
      </c>
      <c r="D32" s="424"/>
      <c r="E32" s="424"/>
      <c r="F32" s="424"/>
      <c r="G32" s="424"/>
      <c r="H32" s="424"/>
      <c r="I32" s="422" t="s">
        <v>90</v>
      </c>
      <c r="J32" s="419"/>
      <c r="K32" s="423">
        <f>'ANNEXURE I'!S23</f>
        <v>70.0</v>
      </c>
      <c r="L32" s="382">
        <f>K32</f>
        <v>70.0</v>
      </c>
    </row>
    <row r="33" spans="8:8" ht="14.1" customHeight="1">
      <c r="A33" s="369"/>
      <c r="B33" s="388" t="s">
        <v>117</v>
      </c>
      <c r="C33" s="424" t="s">
        <v>116</v>
      </c>
      <c r="D33" s="424"/>
      <c r="E33" s="424"/>
      <c r="F33" s="424"/>
      <c r="G33" s="424"/>
      <c r="H33" s="425"/>
      <c r="I33" s="413" t="s">
        <v>90</v>
      </c>
      <c r="J33" s="414"/>
      <c r="K33" s="415">
        <f>'ANNEXURE I'!T23</f>
        <v>2430.0</v>
      </c>
      <c r="L33" s="382">
        <f>K33</f>
        <v>2430.0</v>
      </c>
    </row>
    <row r="34" spans="8:8" ht="14.1" customHeight="1">
      <c r="A34" s="369"/>
      <c r="B34" s="388" t="s">
        <v>572</v>
      </c>
      <c r="C34" s="424" t="str">
        <f>'ANNEXURE I'!R3</f>
        <v>Any Other</v>
      </c>
      <c r="D34" s="424"/>
      <c r="E34" s="424"/>
      <c r="F34" s="426" t="s">
        <v>118</v>
      </c>
      <c r="G34" s="426"/>
      <c r="H34" s="427"/>
      <c r="I34" s="413" t="s">
        <v>90</v>
      </c>
      <c r="J34" s="414"/>
      <c r="K34" s="415">
        <f>'ANNEXURE I'!R23</f>
        <v>0.0</v>
      </c>
      <c r="L34" s="382">
        <f>K34</f>
        <v>0.0</v>
      </c>
    </row>
    <row r="35" spans="8:8" ht="15.75">
      <c r="A35" s="369"/>
      <c r="B35" s="428" t="s">
        <v>119</v>
      </c>
      <c r="C35" s="429"/>
      <c r="D35" s="429"/>
      <c r="E35" s="429"/>
      <c r="F35" s="429"/>
      <c r="G35" s="429"/>
      <c r="H35" s="429"/>
      <c r="I35" s="430" t="s">
        <v>90</v>
      </c>
      <c r="J35" s="431"/>
      <c r="K35" s="432">
        <f>SUM(K23:K34)</f>
        <v>2500.0</v>
      </c>
      <c r="L35" s="396">
        <f>SUM(L23:L34)</f>
        <v>2500.0</v>
      </c>
    </row>
    <row r="36" spans="8:8" ht="15.75">
      <c r="A36" s="369">
        <v>12.0</v>
      </c>
      <c r="B36" s="377" t="s">
        <v>559</v>
      </c>
      <c r="C36" s="378"/>
      <c r="D36" s="378"/>
      <c r="E36" s="378"/>
      <c r="F36" s="378"/>
      <c r="G36" s="378"/>
      <c r="H36" s="378"/>
      <c r="I36" s="385" t="s">
        <v>90</v>
      </c>
      <c r="J36" s="386"/>
      <c r="K36" s="387"/>
      <c r="L36" s="433">
        <f>L21-L35</f>
        <v>725846.0</v>
      </c>
    </row>
    <row r="37" spans="8:8" ht="15.75">
      <c r="A37" s="369">
        <v>13.0</v>
      </c>
      <c r="B37" s="428" t="s">
        <v>120</v>
      </c>
      <c r="C37" s="429"/>
      <c r="D37" s="429"/>
      <c r="E37" s="429"/>
      <c r="F37" s="429"/>
      <c r="G37" s="429"/>
      <c r="H37" s="429"/>
      <c r="I37" s="385"/>
      <c r="J37" s="386"/>
      <c r="K37" s="387"/>
      <c r="L37" s="382"/>
    </row>
    <row r="38" spans="8:8" ht="14.1" customHeight="1">
      <c r="A38" s="369"/>
      <c r="B38" s="388" t="s">
        <v>92</v>
      </c>
      <c r="C38" s="420" t="str">
        <f>Data!C24</f>
        <v>CPS</v>
      </c>
      <c r="D38" s="420"/>
      <c r="E38" s="420"/>
      <c r="F38" s="434" t="s">
        <v>121</v>
      </c>
      <c r="G38" s="435">
        <f>Data!D24</f>
        <v>1.23456789E8</v>
      </c>
      <c r="H38" s="436" t="s">
        <v>122</v>
      </c>
      <c r="I38" s="390" t="s">
        <v>90</v>
      </c>
      <c r="J38" s="391"/>
      <c r="K38" s="415">
        <f>IF(AND(Data!C24="CPS",Data!D25="YES"),Data!W121,'ANNEXURE I'!M23)</f>
        <v>64179.0</v>
      </c>
      <c r="L38" s="382"/>
    </row>
    <row r="39" spans="8:8" ht="14.1" customHeight="1">
      <c r="A39" s="369"/>
      <c r="B39" s="388" t="s">
        <v>94</v>
      </c>
      <c r="C39" s="420" t="str">
        <f>Data!B26</f>
        <v>APGLI</v>
      </c>
      <c r="D39" s="420"/>
      <c r="E39" s="437"/>
      <c r="F39" s="438" t="s">
        <v>123</v>
      </c>
      <c r="G39" s="437" t="str">
        <f>Data!D26</f>
        <v>L123456</v>
      </c>
      <c r="H39" s="436" t="s">
        <v>122</v>
      </c>
      <c r="I39" s="390" t="s">
        <v>90</v>
      </c>
      <c r="J39" s="391"/>
      <c r="K39" s="415">
        <f>'ANNEXURE I'!N23</f>
        <v>12000.0</v>
      </c>
      <c r="L39" s="382"/>
    </row>
    <row r="40" spans="8:8" ht="14.1" customHeight="1">
      <c r="A40" s="369"/>
      <c r="B40" s="388" t="s">
        <v>97</v>
      </c>
      <c r="C40" s="437" t="str">
        <f>Data!B28</f>
        <v>GIS</v>
      </c>
      <c r="D40" s="437"/>
      <c r="E40" s="437"/>
      <c r="F40" s="437"/>
      <c r="G40" s="437"/>
      <c r="H40" s="437"/>
      <c r="I40" s="390" t="s">
        <v>90</v>
      </c>
      <c r="J40" s="391"/>
      <c r="K40" s="415">
        <f>'ANNEXURE I'!O23</f>
        <v>360.0</v>
      </c>
      <c r="L40" s="382"/>
    </row>
    <row r="41" spans="8:8" ht="14.1" customHeight="1">
      <c r="A41" s="369"/>
      <c r="B41" s="388" t="s">
        <v>108</v>
      </c>
      <c r="C41" s="420" t="str">
        <f>Data!B29</f>
        <v>LIC (Salary)</v>
      </c>
      <c r="D41" s="420"/>
      <c r="E41" s="420"/>
      <c r="F41" s="420"/>
      <c r="G41" s="420"/>
      <c r="H41" s="420"/>
      <c r="I41" s="390" t="s">
        <v>90</v>
      </c>
      <c r="J41" s="391"/>
      <c r="K41" s="415">
        <f>'ANNEXURE I'!Q23</f>
        <v>0.0</v>
      </c>
      <c r="L41" s="382"/>
    </row>
    <row r="42" spans="8:8" ht="14.1" customHeight="1">
      <c r="A42" s="369"/>
      <c r="B42" s="388" t="s">
        <v>109</v>
      </c>
      <c r="C42" s="420" t="str">
        <f>Data!B47</f>
        <v>Life Insurance Premium</v>
      </c>
      <c r="D42" s="420"/>
      <c r="E42" s="420"/>
      <c r="F42" s="420"/>
      <c r="G42" s="420"/>
      <c r="H42" s="420"/>
      <c r="I42" s="390" t="s">
        <v>90</v>
      </c>
      <c r="J42" s="391"/>
      <c r="K42" s="415">
        <f>Data!E47</f>
        <v>0.0</v>
      </c>
      <c r="L42" s="382"/>
    </row>
    <row r="43" spans="8:8" ht="14.1" customHeight="1">
      <c r="A43" s="369"/>
      <c r="B43" s="439" t="s">
        <v>110</v>
      </c>
      <c r="C43" s="420" t="str">
        <f>Data!B48</f>
        <v>Children’s Tuition Fees</v>
      </c>
      <c r="D43" s="420"/>
      <c r="E43" s="420"/>
      <c r="F43" s="420"/>
      <c r="G43" s="420"/>
      <c r="H43" s="437"/>
      <c r="I43" s="390" t="s">
        <v>90</v>
      </c>
      <c r="J43" s="391"/>
      <c r="K43" s="415">
        <f>Data!E48</f>
        <v>0.0</v>
      </c>
      <c r="L43" s="382"/>
    </row>
    <row r="44" spans="8:8" ht="14.1" customHeight="1">
      <c r="A44" s="369"/>
      <c r="B44" s="388" t="s">
        <v>111</v>
      </c>
      <c r="C44" s="420" t="str">
        <f>Data!B49</f>
        <v>National Savings Certificates (NSC)</v>
      </c>
      <c r="D44" s="420"/>
      <c r="E44" s="420"/>
      <c r="F44" s="420"/>
      <c r="G44" s="420"/>
      <c r="H44" s="437"/>
      <c r="I44" s="390" t="s">
        <v>90</v>
      </c>
      <c r="J44" s="391"/>
      <c r="K44" s="415">
        <f>Data!E49</f>
        <v>0.0</v>
      </c>
      <c r="L44" s="382"/>
    </row>
    <row r="45" spans="8:8" ht="14.1" customHeight="1">
      <c r="A45" s="369"/>
      <c r="B45" s="439" t="s">
        <v>113</v>
      </c>
      <c r="C45" s="420" t="str">
        <f>Data!B50</f>
        <v>Exide Life Insurance</v>
      </c>
      <c r="D45" s="420"/>
      <c r="E45" s="420"/>
      <c r="F45" s="420"/>
      <c r="G45" s="420"/>
      <c r="H45" s="437"/>
      <c r="I45" s="390" t="s">
        <v>90</v>
      </c>
      <c r="J45" s="391"/>
      <c r="K45" s="415">
        <f>Data!E50</f>
        <v>0.0</v>
      </c>
      <c r="L45" s="382"/>
    </row>
    <row r="46" spans="8:8" ht="14.1" customHeight="1">
      <c r="A46" s="369"/>
      <c r="B46" s="388" t="s">
        <v>114</v>
      </c>
      <c r="C46" s="437" t="str">
        <f>Data!B51</f>
        <v>Sukanya Samriddhi Account Deposit Scheme</v>
      </c>
      <c r="D46" s="437"/>
      <c r="E46" s="437"/>
      <c r="F46" s="437"/>
      <c r="G46" s="437"/>
      <c r="H46" s="437"/>
      <c r="I46" s="390" t="s">
        <v>90</v>
      </c>
      <c r="J46" s="391"/>
      <c r="K46" s="415">
        <f>Data!E51</f>
        <v>0.0</v>
      </c>
      <c r="L46" s="382"/>
    </row>
    <row r="47" spans="8:8" ht="14.1" customHeight="1">
      <c r="A47" s="369"/>
      <c r="B47" s="439" t="s">
        <v>115</v>
      </c>
      <c r="C47" s="420" t="str">
        <f>Data!B52</f>
        <v>Repayment of Home Loan (Principal only)</v>
      </c>
      <c r="D47" s="420"/>
      <c r="E47" s="420"/>
      <c r="F47" s="420"/>
      <c r="G47" s="420"/>
      <c r="H47" s="437"/>
      <c r="I47" s="390" t="s">
        <v>90</v>
      </c>
      <c r="J47" s="391"/>
      <c r="K47" s="415">
        <f>Data!E52</f>
        <v>0.0</v>
      </c>
      <c r="L47" s="382"/>
    </row>
    <row r="48" spans="8:8" ht="14.1" customHeight="1">
      <c r="A48" s="369"/>
      <c r="B48" s="440" t="s">
        <v>117</v>
      </c>
      <c r="C48" s="420" t="str">
        <f>Data!B53</f>
        <v>Other</v>
      </c>
      <c r="D48" s="420"/>
      <c r="E48" s="420"/>
      <c r="F48" s="420"/>
      <c r="G48" s="420"/>
      <c r="H48" s="437"/>
      <c r="I48" s="441" t="s">
        <v>90</v>
      </c>
      <c r="J48" s="442"/>
      <c r="K48" s="415">
        <f>Data!E53</f>
        <v>0.0</v>
      </c>
      <c r="L48" s="382"/>
    </row>
    <row r="49" spans="8:8" ht="16.5">
      <c r="A49" s="369"/>
      <c r="B49" s="377" t="s">
        <v>124</v>
      </c>
      <c r="C49" s="378"/>
      <c r="D49" s="378"/>
      <c r="E49" s="378"/>
      <c r="F49" s="443"/>
      <c r="G49" s="443"/>
      <c r="H49" s="444"/>
      <c r="I49" s="445" t="s">
        <v>90</v>
      </c>
      <c r="J49" s="446"/>
      <c r="K49" s="447">
        <f>SUM(K38:K48)</f>
        <v>76539.0</v>
      </c>
      <c r="L49" s="448">
        <f>IF(K49&gt;150000,150000,K49)</f>
        <v>76539.0</v>
      </c>
    </row>
    <row r="50" spans="8:8" ht="15.75">
      <c r="A50" s="369"/>
      <c r="B50" s="377" t="s">
        <v>125</v>
      </c>
      <c r="C50" s="378"/>
      <c r="D50" s="378"/>
      <c r="E50" s="378"/>
      <c r="F50" s="378"/>
      <c r="G50" s="378"/>
      <c r="H50" s="449"/>
      <c r="I50" s="450" t="s">
        <v>90</v>
      </c>
      <c r="J50" s="451"/>
      <c r="K50" s="452">
        <f>Data!D75</f>
        <v>0.0</v>
      </c>
      <c r="L50" s="453">
        <f>K50</f>
        <v>0.0</v>
      </c>
    </row>
    <row r="51" spans="8:8" ht="15.75">
      <c r="A51" s="369"/>
      <c r="B51" s="377" t="s">
        <v>434</v>
      </c>
      <c r="C51" s="378"/>
      <c r="D51" s="378"/>
      <c r="E51" s="378"/>
      <c r="F51" s="378"/>
      <c r="G51" s="378"/>
      <c r="H51" s="454"/>
      <c r="I51" s="390" t="s">
        <v>90</v>
      </c>
      <c r="J51" s="391"/>
      <c r="K51" s="392">
        <f>IF(AND(Data!C24="CPS",Data!D25="YES"),Data!W134,Data!E74)</f>
        <v>0.0</v>
      </c>
      <c r="L51" s="455">
        <f>K51</f>
        <v>0.0</v>
      </c>
    </row>
    <row r="52" spans="8:8" ht="15.75">
      <c r="A52" s="369">
        <v>14.0</v>
      </c>
      <c r="B52" s="377" t="s">
        <v>560</v>
      </c>
      <c r="C52" s="378"/>
      <c r="D52" s="378"/>
      <c r="E52" s="378"/>
      <c r="F52" s="378"/>
      <c r="G52" s="378"/>
      <c r="H52" s="378"/>
      <c r="I52" s="390" t="s">
        <v>90</v>
      </c>
      <c r="J52" s="391"/>
      <c r="K52" s="456"/>
      <c r="L52" s="453">
        <f>IF(N52&gt;0,MROUND(N52,10),N52)</f>
        <v>649310.0</v>
      </c>
      <c r="N52" s="457">
        <f>L36-(L49+L51)</f>
        <v>649307.0</v>
      </c>
    </row>
    <row r="53" spans="8:8" ht="15.75">
      <c r="A53" s="369">
        <v>15.0</v>
      </c>
      <c r="B53" s="377" t="s">
        <v>126</v>
      </c>
      <c r="C53" s="378"/>
      <c r="D53" s="378"/>
      <c r="E53" s="378"/>
      <c r="F53" s="378"/>
      <c r="G53" s="378"/>
      <c r="H53" s="443"/>
      <c r="I53" s="390"/>
      <c r="J53" s="391"/>
      <c r="K53" s="456"/>
      <c r="L53" s="458"/>
    </row>
    <row r="54" spans="8:8" ht="15.75">
      <c r="A54" s="369"/>
      <c r="B54" s="388" t="s">
        <v>92</v>
      </c>
      <c r="C54" s="459" t="s">
        <v>421</v>
      </c>
      <c r="D54" s="460"/>
      <c r="E54" s="461"/>
      <c r="F54" s="399">
        <f>Data!I172</f>
        <v>250000.0</v>
      </c>
      <c r="G54" s="399"/>
      <c r="H54" s="462"/>
      <c r="I54" s="390" t="s">
        <v>90</v>
      </c>
      <c r="J54" s="391"/>
      <c r="K54" s="456"/>
      <c r="L54" s="463">
        <f>Data!K172</f>
        <v>0.0</v>
      </c>
    </row>
    <row r="55" spans="8:8" ht="15.75">
      <c r="A55" s="369"/>
      <c r="B55" s="388" t="s">
        <v>94</v>
      </c>
      <c r="C55" s="464" t="s">
        <v>418</v>
      </c>
      <c r="D55" s="464"/>
      <c r="E55" s="464"/>
      <c r="F55" s="460" t="str">
        <f>CONCATENATE(Data!I173," (@5%)")</f>
        <v>250000 (@5%)</v>
      </c>
      <c r="G55" s="460"/>
      <c r="H55" s="462"/>
      <c r="I55" s="390" t="s">
        <v>90</v>
      </c>
      <c r="J55" s="391"/>
      <c r="K55" s="456"/>
      <c r="L55" s="465">
        <f>Data!K173</f>
        <v>12500.0</v>
      </c>
    </row>
    <row r="56" spans="8:8" ht="15.75">
      <c r="A56" s="369"/>
      <c r="B56" s="388" t="s">
        <v>97</v>
      </c>
      <c r="C56" s="466" t="s">
        <v>419</v>
      </c>
      <c r="D56" s="466"/>
      <c r="E56" s="466"/>
      <c r="F56" s="459" t="str">
        <f>CONCATENATE(Data!I174," (@20%)")</f>
        <v>149310 (@20%)</v>
      </c>
      <c r="G56" s="466"/>
      <c r="H56" s="436"/>
      <c r="I56" s="390" t="s">
        <v>90</v>
      </c>
      <c r="J56" s="391"/>
      <c r="K56" s="456"/>
      <c r="L56" s="465">
        <f>Data!K174</f>
        <v>29862.0</v>
      </c>
      <c r="O56" s="395"/>
    </row>
    <row r="57" spans="8:8" ht="15.75">
      <c r="A57" s="369"/>
      <c r="B57" s="388" t="s">
        <v>108</v>
      </c>
      <c r="C57" s="467" t="s">
        <v>420</v>
      </c>
      <c r="D57" s="467"/>
      <c r="E57" s="467"/>
      <c r="F57" s="459" t="str">
        <f>CONCATENATE(Data!I175," (@30%)")</f>
        <v>0 (@30%)</v>
      </c>
      <c r="G57" s="467"/>
      <c r="H57" s="436"/>
      <c r="I57" s="390" t="s">
        <v>90</v>
      </c>
      <c r="J57" s="391"/>
      <c r="K57" s="456"/>
      <c r="L57" s="465">
        <f>Data!K175</f>
        <v>0.0</v>
      </c>
    </row>
    <row r="58" spans="8:8" ht="15.75">
      <c r="A58" s="369">
        <v>16.0</v>
      </c>
      <c r="B58" s="410" t="s">
        <v>673</v>
      </c>
      <c r="C58" s="389"/>
      <c r="D58" s="389"/>
      <c r="E58" s="389"/>
      <c r="F58" s="389"/>
      <c r="G58" s="389"/>
      <c r="H58" s="468"/>
      <c r="I58" s="390" t="s">
        <v>90</v>
      </c>
      <c r="J58" s="391"/>
      <c r="K58" s="456"/>
      <c r="L58" s="465">
        <f>IF(L52&lt;500000,IF(L55&gt;12500,12500,L55),IF(L52&gt;500000,0,12500))</f>
        <v>0.0</v>
      </c>
    </row>
    <row r="59" spans="8:8" ht="15.75">
      <c r="A59" s="369">
        <v>17.0</v>
      </c>
      <c r="B59" s="469" t="s">
        <v>127</v>
      </c>
      <c r="C59" s="393"/>
      <c r="D59" s="393"/>
      <c r="E59" s="393"/>
      <c r="F59" s="393"/>
      <c r="G59" s="393"/>
      <c r="H59" s="393"/>
      <c r="I59" s="390" t="s">
        <v>90</v>
      </c>
      <c r="J59" s="391"/>
      <c r="K59" s="456"/>
      <c r="L59" s="465">
        <f>IF(L55&lt;2001,0,SUM(L55:L57)-L58)</f>
        <v>42362.0</v>
      </c>
    </row>
    <row r="60" spans="8:8" ht="15.75">
      <c r="A60" s="369">
        <v>18.0</v>
      </c>
      <c r="B60" s="410" t="s">
        <v>568</v>
      </c>
      <c r="C60" s="389"/>
      <c r="D60" s="389"/>
      <c r="E60" s="389"/>
      <c r="F60" s="389"/>
      <c r="G60" s="389"/>
      <c r="H60" s="436"/>
      <c r="I60" s="390" t="s">
        <v>90</v>
      </c>
      <c r="J60" s="470"/>
      <c r="K60" s="456"/>
      <c r="L60" s="465">
        <f>Data!S178</f>
        <v>1694.0</v>
      </c>
    </row>
    <row r="61" spans="8:8" ht="15.75">
      <c r="A61" s="369">
        <v>19.0</v>
      </c>
      <c r="B61" s="377" t="s">
        <v>543</v>
      </c>
      <c r="C61" s="378"/>
      <c r="D61" s="378"/>
      <c r="E61" s="378"/>
      <c r="F61" s="378"/>
      <c r="G61" s="378"/>
      <c r="H61" s="471"/>
      <c r="I61" s="390" t="s">
        <v>90</v>
      </c>
      <c r="J61" s="391"/>
      <c r="K61" s="456"/>
      <c r="L61" s="458">
        <f>SUM(L59:L60)</f>
        <v>44056.0</v>
      </c>
    </row>
    <row r="62" spans="8:8" ht="15.75">
      <c r="A62" s="369">
        <v>20.0</v>
      </c>
      <c r="B62" s="472" t="s">
        <v>665</v>
      </c>
      <c r="C62" s="473"/>
      <c r="D62" s="473"/>
      <c r="E62" s="473"/>
      <c r="F62" s="473"/>
      <c r="G62" s="473"/>
      <c r="H62" s="471"/>
      <c r="I62" s="390" t="s">
        <v>90</v>
      </c>
      <c r="J62" s="391"/>
      <c r="K62" s="456"/>
      <c r="L62" s="458">
        <f>'Form 10E'!U59</f>
        <v>0.0</v>
      </c>
    </row>
    <row r="63" spans="8:8" ht="15.75">
      <c r="A63" s="369">
        <v>21.0</v>
      </c>
      <c r="B63" s="377" t="s">
        <v>128</v>
      </c>
      <c r="C63" s="378"/>
      <c r="D63" s="378"/>
      <c r="E63" s="378"/>
      <c r="F63" s="378"/>
      <c r="G63" s="378"/>
      <c r="H63" s="471"/>
      <c r="I63" s="390"/>
      <c r="J63" s="391"/>
      <c r="K63" s="456"/>
      <c r="L63" s="458"/>
    </row>
    <row r="64" spans="8:8" ht="15.75">
      <c r="A64" s="369"/>
      <c r="B64" s="388" t="s">
        <v>92</v>
      </c>
      <c r="C64" s="474" t="s">
        <v>129</v>
      </c>
      <c r="D64" s="475">
        <v>44501.0</v>
      </c>
      <c r="E64" s="475"/>
      <c r="F64" s="476" t="s">
        <v>90</v>
      </c>
      <c r="G64" s="477">
        <f>SUM(Data!H47:H55)</f>
        <v>0.0</v>
      </c>
      <c r="H64" s="462"/>
      <c r="I64" s="478"/>
      <c r="J64" s="386"/>
      <c r="K64" s="479"/>
      <c r="L64" s="480"/>
    </row>
    <row r="65" spans="8:8" ht="15.75">
      <c r="A65" s="369"/>
      <c r="B65" s="388" t="s">
        <v>94</v>
      </c>
      <c r="C65" s="481"/>
      <c r="D65" s="475">
        <v>44531.0</v>
      </c>
      <c r="E65" s="475"/>
      <c r="F65" s="476" t="s">
        <v>90</v>
      </c>
      <c r="G65" s="477">
        <f>Data!H56</f>
        <v>0.0</v>
      </c>
      <c r="H65" s="462"/>
      <c r="I65" s="478"/>
      <c r="J65" s="386"/>
      <c r="K65" s="479"/>
      <c r="L65" s="480"/>
    </row>
    <row r="66" spans="8:8" ht="15.75">
      <c r="A66" s="369"/>
      <c r="B66" s="388" t="s">
        <v>97</v>
      </c>
      <c r="C66" s="481"/>
      <c r="D66" s="475">
        <v>44562.0</v>
      </c>
      <c r="E66" s="475"/>
      <c r="F66" s="476" t="s">
        <v>90</v>
      </c>
      <c r="G66" s="477">
        <f>Data!H57</f>
        <v>0.0</v>
      </c>
      <c r="H66" s="462"/>
      <c r="I66" s="478"/>
      <c r="J66" s="386"/>
      <c r="K66" s="479"/>
      <c r="L66" s="480"/>
    </row>
    <row r="67" spans="8:8" ht="15.75">
      <c r="A67" s="369"/>
      <c r="B67" s="388"/>
      <c r="C67" s="389" t="s">
        <v>130</v>
      </c>
      <c r="D67" s="389"/>
      <c r="E67" s="389"/>
      <c r="F67" s="389"/>
      <c r="G67" s="482">
        <f>SUM(G64:G66)</f>
        <v>0.0</v>
      </c>
      <c r="H67" s="462"/>
      <c r="I67" s="385" t="s">
        <v>90</v>
      </c>
      <c r="J67" s="386"/>
      <c r="K67" s="479"/>
      <c r="L67" s="483">
        <f>G67</f>
        <v>0.0</v>
      </c>
    </row>
    <row r="68" spans="8:8" ht="18.75">
      <c r="A68" s="484">
        <v>22.0</v>
      </c>
      <c r="B68" s="485" t="str">
        <f>IF(L68&lt;0,"Tax Refundable","Tax Payable")</f>
        <v>Tax Payable</v>
      </c>
      <c r="C68" s="486"/>
      <c r="D68" s="486"/>
      <c r="E68" s="486"/>
      <c r="F68" s="486"/>
      <c r="G68" s="486"/>
      <c r="H68" s="487"/>
      <c r="I68" s="430" t="s">
        <v>90</v>
      </c>
      <c r="J68" s="431"/>
      <c r="K68" s="488"/>
      <c r="L68" s="489">
        <f>IF(L61-(G67+L62)=0,"No Tax",L61-(G67+L62))</f>
        <v>44056.0</v>
      </c>
      <c r="N68" s="395"/>
    </row>
    <row r="69" spans="8:8" ht="13.5" customHeight="1">
      <c r="A69" s="490"/>
      <c r="B69" s="471"/>
      <c r="C69" s="471"/>
      <c r="D69" s="471"/>
      <c r="E69" s="471"/>
      <c r="F69" s="471"/>
      <c r="G69" s="471"/>
      <c r="H69" s="462"/>
      <c r="I69" s="386"/>
      <c r="J69" s="386"/>
      <c r="K69" s="386"/>
      <c r="L69" s="491"/>
    </row>
    <row r="70" spans="8:8" ht="24.75" customHeight="1">
      <c r="A70" s="492" t="s">
        <v>131</v>
      </c>
      <c r="B70" s="384"/>
      <c r="C70" s="384"/>
      <c r="D70" s="384"/>
      <c r="E70" s="384"/>
      <c r="F70" s="384"/>
      <c r="G70" s="384"/>
      <c r="H70" s="462"/>
      <c r="I70" s="493" t="s">
        <v>132</v>
      </c>
      <c r="J70" s="493"/>
      <c r="K70" s="493"/>
      <c r="L70" s="494"/>
    </row>
    <row r="71" spans="8:8" ht="3.0" customHeight="1">
      <c r="A71" s="490"/>
      <c r="B71" s="437"/>
      <c r="C71" s="437"/>
      <c r="D71" s="437"/>
      <c r="E71" s="437"/>
      <c r="F71" s="437"/>
      <c r="G71" s="437"/>
      <c r="H71" s="462"/>
      <c r="I71" s="386"/>
      <c r="J71" s="386"/>
      <c r="K71" s="495"/>
      <c r="L71" s="496"/>
    </row>
    <row r="72" spans="8:8" ht="6.75" customHeight="1">
      <c r="A72" s="497"/>
      <c r="B72" s="498"/>
      <c r="C72" s="498"/>
      <c r="D72" s="498"/>
      <c r="E72" s="498"/>
      <c r="F72" s="498"/>
      <c r="G72" s="498"/>
      <c r="H72" s="499"/>
      <c r="I72" s="500"/>
      <c r="J72" s="500"/>
      <c r="K72" s="501"/>
      <c r="L72" s="502"/>
    </row>
    <row r="73" spans="8:8" ht="15.75"/>
  </sheetData>
  <sheetProtection sheet="0" formatCells="0" selectLockedCells="1"/>
  <protectedRanges>
    <protectedRange sqref="A2:E2 C24:J24 A31:H31 C48 B58:H59 A32:F40 B41:D47 B49:D57 A24:B30 I30:L30 I25:J25 I28:J29 E41:F57 C3 I15:I16 K24:L29 B60:F70 B3:B14 J3:K3 C4:D14 E3:E14 F3:G3 G1:L2 F4:L14 K16 L16:L23 B17:K23 A3:A23 A41:A70 G26:J27 G31:L70" name="Range1"/>
  </protectedRanges>
  <mergeCells count="68">
    <mergeCell ref="C41:H41"/>
    <mergeCell ref="K5:L5"/>
    <mergeCell ref="C3:E3"/>
    <mergeCell ref="B6:H6"/>
    <mergeCell ref="B17:H17"/>
    <mergeCell ref="I70:L70"/>
    <mergeCell ref="B68:G68"/>
    <mergeCell ref="A70:G70"/>
    <mergeCell ref="B52:H52"/>
    <mergeCell ref="A2:L2"/>
    <mergeCell ref="B58:H58"/>
    <mergeCell ref="C23:H23"/>
    <mergeCell ref="C55:E55"/>
    <mergeCell ref="C33:G33"/>
    <mergeCell ref="C24:H24"/>
    <mergeCell ref="A1:L1"/>
    <mergeCell ref="C44:G44"/>
    <mergeCell ref="C14:G14"/>
    <mergeCell ref="C67:F67"/>
    <mergeCell ref="F34:H34"/>
    <mergeCell ref="B53:G53"/>
    <mergeCell ref="K4:L4"/>
    <mergeCell ref="C38:E38"/>
    <mergeCell ref="B19:H19"/>
    <mergeCell ref="G5:I5"/>
    <mergeCell ref="C8:H8"/>
    <mergeCell ref="C13:H13"/>
    <mergeCell ref="K3:L3"/>
    <mergeCell ref="B18:H18"/>
    <mergeCell ref="D65:E65"/>
    <mergeCell ref="B7:H7"/>
    <mergeCell ref="D64:E64"/>
    <mergeCell ref="C31:H31"/>
    <mergeCell ref="B37:H37"/>
    <mergeCell ref="B11:H11"/>
    <mergeCell ref="C48:G48"/>
    <mergeCell ref="D5:E5"/>
    <mergeCell ref="G3:I3"/>
    <mergeCell ref="B61:G61"/>
    <mergeCell ref="D66:E66"/>
    <mergeCell ref="C26:H26"/>
    <mergeCell ref="C47:G47"/>
    <mergeCell ref="B36:H36"/>
    <mergeCell ref="C43:G43"/>
    <mergeCell ref="C32:H32"/>
    <mergeCell ref="C25:H25"/>
    <mergeCell ref="B51:G51"/>
    <mergeCell ref="C30:H30"/>
    <mergeCell ref="C39:D39"/>
    <mergeCell ref="C34:E34"/>
    <mergeCell ref="B49:E49"/>
    <mergeCell ref="C28:H28"/>
    <mergeCell ref="B50:H50"/>
    <mergeCell ref="B12:H12"/>
    <mergeCell ref="F54:G54"/>
    <mergeCell ref="C29:H29"/>
    <mergeCell ref="B35:H35"/>
    <mergeCell ref="C42:H42"/>
    <mergeCell ref="H4:J4"/>
    <mergeCell ref="A4:C4"/>
    <mergeCell ref="B21:H21"/>
    <mergeCell ref="B63:G63"/>
    <mergeCell ref="C16:G16"/>
    <mergeCell ref="C45:G45"/>
    <mergeCell ref="B60:G60"/>
    <mergeCell ref="B20:H20"/>
    <mergeCell ref="B22:H22"/>
    <mergeCell ref="D4:E4"/>
  </mergeCells>
  <conditionalFormatting sqref="L23:L34">
    <cfRule type="expression" priority="2" dxfId="13">
      <formula>$K$31&lt;200000</formula>
    </cfRule>
  </conditionalFormatting>
  <printOptions horizontalCentered="1" verticalCentered="1"/>
  <pageMargins left="0.236220472440945" right="0.236220472440945" top="0.118110236220472" bottom="0.078740157480315" header="0.0" footer="0.22"/>
  <pageSetup paperSize="9" scale="79"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tabColor rgb="FF92D050"/>
  </sheetPr>
  <dimension ref="A1:P63"/>
  <sheetViews>
    <sheetView workbookViewId="0" showGridLines="0" showRowColHeaders="0">
      <selection activeCell="H5" sqref="H5:M5"/>
    </sheetView>
  </sheetViews>
  <sheetFormatPr defaultRowHeight="15.0" defaultColWidth="10"/>
  <cols>
    <col min="1" max="1" customWidth="1" width="4.140625" style="313"/>
    <col min="2" max="2" customWidth="1" width="5.140625" style="313"/>
    <col min="3" max="3" customWidth="0" width="9.140625" style="313"/>
    <col min="4" max="4" customWidth="1" width="19.140625" style="313"/>
    <col min="5" max="5" customWidth="1" width="3.140625" style="313"/>
    <col min="6" max="6" customWidth="1" width="12.7109375" style="313"/>
    <col min="7" max="7" customWidth="1" width="4.140625" style="313"/>
    <col min="8" max="8" customWidth="1" width="2.8554688" style="313"/>
    <col min="9" max="9" customWidth="1" width="12.7109375" style="313"/>
    <col min="10" max="10" customWidth="1" width="3.0" style="313"/>
    <col min="11" max="11" customWidth="1" width="12.7109375" style="313"/>
    <col min="12" max="12" customWidth="1" width="3.0" style="313"/>
    <col min="13" max="13" customWidth="1" width="12.7109375" style="313"/>
    <col min="14" max="16384" customWidth="0" width="9.140625" style="313"/>
  </cols>
  <sheetData>
    <row r="1" spans="8:8" ht="19.5" customHeight="1">
      <c r="A1" s="503" t="s">
        <v>341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5"/>
    </row>
    <row r="2" spans="8:8">
      <c r="A2" s="506" t="s">
        <v>342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8"/>
    </row>
    <row r="3" spans="8:8" ht="11.25" customHeight="1">
      <c r="A3" s="506"/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8"/>
    </row>
    <row r="4" spans="8:8">
      <c r="A4" s="509" t="s">
        <v>139</v>
      </c>
      <c r="B4" s="510"/>
      <c r="C4" s="510"/>
      <c r="D4" s="510"/>
      <c r="E4" s="510"/>
      <c r="F4" s="510"/>
      <c r="G4" s="510"/>
      <c r="H4" s="511" t="s">
        <v>140</v>
      </c>
      <c r="I4" s="512"/>
      <c r="J4" s="512"/>
      <c r="K4" s="512"/>
      <c r="L4" s="512"/>
      <c r="M4" s="513"/>
    </row>
    <row r="5" spans="8:8" ht="14.25" customHeight="1">
      <c r="A5" s="514"/>
      <c r="B5" s="515" t="str">
        <f>Data!C15</f>
        <v>M.JAYAVELU</v>
      </c>
      <c r="C5" s="515"/>
      <c r="D5" s="515"/>
      <c r="E5" s="515"/>
      <c r="F5" s="515"/>
      <c r="G5" s="516"/>
      <c r="H5" s="377" t="str">
        <f>Data!D4</f>
        <v>P. Pothan Prasad</v>
      </c>
      <c r="I5" s="378"/>
      <c r="J5" s="378"/>
      <c r="K5" s="378"/>
      <c r="L5" s="378"/>
      <c r="M5" s="517"/>
    </row>
    <row r="6" spans="8:8" ht="13.5" customHeight="1">
      <c r="A6" s="518"/>
      <c r="B6" s="519" t="str">
        <f>Data!C16</f>
        <v>Mandal Educational Officer</v>
      </c>
      <c r="C6" s="519"/>
      <c r="D6" s="519"/>
      <c r="E6" s="519"/>
      <c r="F6" s="519"/>
      <c r="G6" s="387"/>
      <c r="H6" s="377" t="str">
        <f>Data!D7</f>
        <v>SGT</v>
      </c>
      <c r="I6" s="378"/>
      <c r="J6" s="378"/>
      <c r="K6" s="378"/>
      <c r="L6" s="378"/>
      <c r="M6" s="517"/>
    </row>
    <row r="7" spans="8:8" ht="15.75">
      <c r="A7" s="520"/>
      <c r="B7" s="521" t="str">
        <f>Data!C17</f>
        <v>MRC, PENAGALUR</v>
      </c>
      <c r="C7" s="521"/>
      <c r="D7" s="521"/>
      <c r="E7" s="521"/>
      <c r="F7" s="521"/>
      <c r="H7" s="377" t="str">
        <f>Data!D8</f>
        <v>M.P.P.School</v>
      </c>
      <c r="I7" s="378"/>
      <c r="J7" s="378"/>
      <c r="K7" s="378"/>
      <c r="L7" s="378"/>
      <c r="M7" s="517"/>
    </row>
    <row r="8" spans="8:8" ht="15.75">
      <c r="A8" s="522"/>
      <c r="B8" s="523" t="s">
        <v>238</v>
      </c>
      <c r="C8" s="523"/>
      <c r="D8" s="524" t="str">
        <f>Data!D10</f>
        <v>Pengalur</v>
      </c>
      <c r="E8" s="524"/>
      <c r="F8" s="524"/>
      <c r="G8" s="525"/>
      <c r="H8" s="377" t="str">
        <f>Data!D9</f>
        <v>N.R.Palle</v>
      </c>
      <c r="I8" s="378"/>
      <c r="J8" s="378"/>
      <c r="K8" s="378"/>
      <c r="L8" s="378"/>
      <c r="M8" s="517"/>
    </row>
    <row r="9" spans="8:8" ht="16.5">
      <c r="A9" s="526" t="s">
        <v>529</v>
      </c>
      <c r="B9" s="527"/>
      <c r="C9" s="528"/>
      <c r="D9" s="529" t="str">
        <f>Data!C19</f>
        <v>AZK234M87</v>
      </c>
      <c r="E9" s="530"/>
      <c r="F9" s="530"/>
      <c r="G9" s="531"/>
      <c r="H9" s="384"/>
      <c r="I9" s="384"/>
      <c r="J9" s="384"/>
      <c r="K9" s="384"/>
      <c r="L9" s="384"/>
      <c r="M9" s="532"/>
    </row>
    <row r="10" spans="8:8" ht="15.75" hidden="1">
      <c r="A10" s="533"/>
      <c r="B10" s="534"/>
      <c r="C10" s="534"/>
      <c r="D10" s="534"/>
      <c r="E10" s="534"/>
      <c r="F10" s="534"/>
      <c r="G10" s="534"/>
      <c r="H10" s="535"/>
      <c r="I10" s="534"/>
      <c r="J10" s="534"/>
      <c r="K10" s="534"/>
      <c r="L10" s="534"/>
      <c r="M10" s="536"/>
    </row>
    <row r="11" spans="8:8" ht="15.75">
      <c r="A11" s="537" t="s">
        <v>141</v>
      </c>
      <c r="B11" s="538"/>
      <c r="C11" s="539"/>
      <c r="D11" s="540" t="str">
        <f>Data!C18</f>
        <v>HYDM12345</v>
      </c>
      <c r="E11" s="538"/>
      <c r="F11" s="538"/>
      <c r="G11" s="539"/>
      <c r="H11" s="541" t="s">
        <v>142</v>
      </c>
      <c r="I11" s="542"/>
      <c r="J11" s="543"/>
      <c r="K11" s="540" t="str">
        <f>Data!D6</f>
        <v>AZKABC2307</v>
      </c>
      <c r="L11" s="538"/>
      <c r="M11" s="544"/>
    </row>
    <row r="12" spans="8:8" ht="22.5" customHeight="1">
      <c r="A12" s="545" t="s">
        <v>143</v>
      </c>
      <c r="B12" s="546"/>
      <c r="C12" s="546"/>
      <c r="D12" s="546"/>
      <c r="E12" s="546"/>
      <c r="F12" s="546"/>
      <c r="G12" s="546"/>
      <c r="H12" s="546"/>
      <c r="I12" s="546"/>
      <c r="J12" s="546"/>
      <c r="K12" s="546"/>
      <c r="L12" s="546"/>
      <c r="M12" s="547"/>
    </row>
    <row r="13" spans="8:8">
      <c r="A13" s="548" t="s">
        <v>144</v>
      </c>
      <c r="B13" s="549"/>
      <c r="C13" s="549"/>
      <c r="D13" s="549" t="s">
        <v>145</v>
      </c>
      <c r="E13" s="549"/>
      <c r="F13" s="549"/>
      <c r="G13" s="549"/>
      <c r="H13" s="549" t="s">
        <v>146</v>
      </c>
      <c r="I13" s="549"/>
      <c r="J13" s="549"/>
      <c r="K13" s="550"/>
      <c r="L13" s="551" t="s">
        <v>147</v>
      </c>
      <c r="M13" s="552"/>
    </row>
    <row r="14" spans="8:8">
      <c r="A14" s="548">
        <v>1.0</v>
      </c>
      <c r="B14" s="549"/>
      <c r="C14" s="549"/>
      <c r="D14" s="549" t="s">
        <v>48</v>
      </c>
      <c r="E14" s="549"/>
      <c r="F14" s="549"/>
      <c r="G14" s="549"/>
      <c r="H14" s="549" t="s">
        <v>148</v>
      </c>
      <c r="I14" s="549"/>
      <c r="J14" s="549" t="s">
        <v>149</v>
      </c>
      <c r="K14" s="550"/>
      <c r="L14" s="550" t="s">
        <v>150</v>
      </c>
      <c r="M14" s="553"/>
    </row>
    <row r="15" spans="8:8">
      <c r="A15" s="554">
        <v>2.0</v>
      </c>
      <c r="B15" s="555"/>
      <c r="C15" s="555"/>
      <c r="D15" s="555"/>
      <c r="E15" s="555"/>
      <c r="F15" s="555"/>
      <c r="G15" s="555"/>
      <c r="H15" s="556" t="s">
        <v>696</v>
      </c>
      <c r="I15" s="557"/>
      <c r="J15" s="556" t="s">
        <v>697</v>
      </c>
      <c r="K15" s="558"/>
      <c r="L15" s="559" t="s">
        <v>698</v>
      </c>
      <c r="M15" s="560"/>
    </row>
    <row r="16" spans="8:8">
      <c r="A16" s="554">
        <v>3.0</v>
      </c>
      <c r="B16" s="555"/>
      <c r="C16" s="555"/>
      <c r="D16" s="555"/>
      <c r="E16" s="555"/>
      <c r="F16" s="555"/>
      <c r="G16" s="555"/>
      <c r="H16" s="561"/>
      <c r="I16" s="559"/>
      <c r="J16" s="561"/>
      <c r="K16" s="562"/>
      <c r="L16" s="559"/>
      <c r="M16" s="560"/>
    </row>
    <row r="17" spans="8:8">
      <c r="A17" s="554">
        <v>4.0</v>
      </c>
      <c r="B17" s="555"/>
      <c r="C17" s="555"/>
      <c r="D17" s="555"/>
      <c r="E17" s="555"/>
      <c r="F17" s="555"/>
      <c r="G17" s="555"/>
      <c r="H17" s="563"/>
      <c r="I17" s="564"/>
      <c r="J17" s="563"/>
      <c r="K17" s="565"/>
      <c r="L17" s="564"/>
      <c r="M17" s="566"/>
    </row>
    <row r="18" spans="8:8" ht="16.5">
      <c r="A18" s="567" t="s">
        <v>151</v>
      </c>
      <c r="B18" s="568"/>
      <c r="C18" s="568"/>
      <c r="D18" s="568"/>
      <c r="E18" s="568"/>
      <c r="F18" s="568"/>
      <c r="G18" s="568"/>
      <c r="H18" s="568"/>
      <c r="I18" s="568"/>
      <c r="J18" s="568"/>
      <c r="K18" s="568"/>
      <c r="L18" s="568"/>
      <c r="M18" s="569"/>
    </row>
    <row r="19" spans="8:8" ht="2.25" customHeight="1">
      <c r="A19" s="570"/>
      <c r="B19" s="571"/>
      <c r="C19" s="571"/>
      <c r="D19" s="571"/>
      <c r="E19" s="571"/>
      <c r="F19" s="571"/>
      <c r="G19" s="571"/>
      <c r="H19" s="571"/>
      <c r="I19" s="571"/>
      <c r="J19" s="571"/>
      <c r="K19" s="571"/>
      <c r="L19" s="571"/>
      <c r="M19" s="572"/>
    </row>
    <row r="20" spans="8:8">
      <c r="A20" s="573">
        <v>1.0</v>
      </c>
      <c r="B20" s="574" t="s">
        <v>152</v>
      </c>
      <c r="C20" s="575"/>
      <c r="D20" s="575"/>
      <c r="E20" s="576"/>
      <c r="F20" s="576"/>
      <c r="G20" s="576"/>
      <c r="H20" s="577" t="s">
        <v>90</v>
      </c>
      <c r="I20" s="578">
        <f>'ANNEXURE II'!L6</f>
        <v>800569.0</v>
      </c>
      <c r="J20" s="579"/>
      <c r="K20" s="580"/>
      <c r="L20" s="579"/>
      <c r="M20" s="581"/>
    </row>
    <row r="21" spans="8:8">
      <c r="A21" s="573"/>
      <c r="B21" s="582" t="s">
        <v>92</v>
      </c>
      <c r="C21" s="583" t="s">
        <v>153</v>
      </c>
      <c r="D21" s="583"/>
      <c r="E21" s="583"/>
      <c r="F21" s="583"/>
      <c r="G21" s="583"/>
      <c r="H21" s="584" t="s">
        <v>90</v>
      </c>
      <c r="I21" s="585">
        <v>0.0</v>
      </c>
      <c r="J21" s="579"/>
      <c r="K21" s="580"/>
      <c r="L21" s="579"/>
      <c r="M21" s="581"/>
    </row>
    <row r="22" spans="8:8">
      <c r="A22" s="573"/>
      <c r="B22" s="582" t="s">
        <v>94</v>
      </c>
      <c r="C22" s="583" t="s">
        <v>154</v>
      </c>
      <c r="D22" s="583"/>
      <c r="E22" s="583"/>
      <c r="F22" s="583"/>
      <c r="G22" s="583"/>
      <c r="H22" s="584" t="s">
        <v>90</v>
      </c>
      <c r="I22" s="585">
        <v>0.0</v>
      </c>
      <c r="J22" s="579"/>
      <c r="K22" s="580"/>
      <c r="L22" s="579"/>
      <c r="M22" s="581"/>
    </row>
    <row r="23" spans="8:8">
      <c r="A23" s="573"/>
      <c r="B23" s="582"/>
      <c r="C23" s="583" t="s">
        <v>155</v>
      </c>
      <c r="D23" s="583"/>
      <c r="E23" s="583"/>
      <c r="F23" s="583"/>
      <c r="G23" s="583"/>
      <c r="H23" s="586"/>
      <c r="I23" s="587"/>
      <c r="J23" s="579"/>
      <c r="K23" s="580"/>
      <c r="L23" s="579"/>
      <c r="M23" s="581"/>
    </row>
    <row r="24" spans="8:8">
      <c r="A24" s="573"/>
      <c r="B24" s="582" t="s">
        <v>97</v>
      </c>
      <c r="C24" s="583" t="s">
        <v>156</v>
      </c>
      <c r="D24" s="583"/>
      <c r="E24" s="583"/>
      <c r="F24" s="583"/>
      <c r="G24" s="583"/>
      <c r="H24" s="577" t="s">
        <v>90</v>
      </c>
      <c r="I24" s="578">
        <v>0.0</v>
      </c>
      <c r="J24" s="579"/>
      <c r="K24" s="580"/>
      <c r="L24" s="579"/>
      <c r="M24" s="581"/>
    </row>
    <row r="25" spans="8:8">
      <c r="A25" s="573"/>
      <c r="B25" s="582"/>
      <c r="C25" s="583" t="s">
        <v>157</v>
      </c>
      <c r="D25" s="583"/>
      <c r="E25" s="583"/>
      <c r="F25" s="583"/>
      <c r="G25" s="583"/>
      <c r="H25" s="588"/>
      <c r="I25" s="589"/>
      <c r="J25" s="579"/>
      <c r="K25" s="580"/>
      <c r="L25" s="579"/>
      <c r="M25" s="581"/>
    </row>
    <row r="26" spans="8:8">
      <c r="A26" s="573"/>
      <c r="B26" s="582" t="s">
        <v>108</v>
      </c>
      <c r="C26" s="590" t="s">
        <v>158</v>
      </c>
      <c r="D26" s="576"/>
      <c r="E26" s="576"/>
      <c r="F26" s="576"/>
      <c r="G26" s="576"/>
      <c r="H26" s="591" t="s">
        <v>90</v>
      </c>
      <c r="I26" s="592">
        <f>SUM(I20:I24)</f>
        <v>800569.0</v>
      </c>
      <c r="J26" s="579"/>
      <c r="K26" s="580"/>
      <c r="L26" s="579" t="s">
        <v>90</v>
      </c>
      <c r="M26" s="593">
        <f>I26</f>
        <v>800569.0</v>
      </c>
    </row>
    <row r="27" spans="8:8">
      <c r="A27" s="573">
        <v>2.0</v>
      </c>
      <c r="B27" s="594" t="s">
        <v>159</v>
      </c>
      <c r="C27" s="583"/>
      <c r="D27" s="583"/>
      <c r="E27" s="583"/>
      <c r="F27" s="583"/>
      <c r="G27" s="583"/>
      <c r="H27" s="591"/>
      <c r="I27" s="595"/>
      <c r="J27" s="596"/>
      <c r="K27" s="580"/>
      <c r="L27" s="579"/>
      <c r="M27" s="581"/>
    </row>
    <row r="28" spans="8:8">
      <c r="A28" s="573"/>
      <c r="B28" s="582" t="s">
        <v>92</v>
      </c>
      <c r="C28" s="597" t="s">
        <v>160</v>
      </c>
      <c r="D28" s="597"/>
      <c r="E28" s="481"/>
      <c r="F28" s="481"/>
      <c r="G28" s="598"/>
      <c r="H28" s="599" t="s">
        <v>90</v>
      </c>
      <c r="I28" s="600">
        <f>'ANNEXURE II'!L10</f>
        <v>19823.0</v>
      </c>
      <c r="J28" s="596"/>
      <c r="K28" s="580"/>
      <c r="L28" s="579"/>
      <c r="M28" s="581"/>
    </row>
    <row r="29" spans="8:8">
      <c r="A29" s="573"/>
      <c r="B29" s="582" t="s">
        <v>94</v>
      </c>
      <c r="C29" s="313" t="s">
        <v>427</v>
      </c>
      <c r="E29" s="597"/>
      <c r="F29" s="481"/>
      <c r="G29" s="598"/>
      <c r="H29" s="599" t="s">
        <v>90</v>
      </c>
      <c r="I29" s="313">
        <f>'ANNEXURE II'!K13</f>
        <v>0.0</v>
      </c>
      <c r="J29" s="596"/>
      <c r="K29" s="580"/>
      <c r="M29" s="601"/>
    </row>
    <row r="30" spans="8:8">
      <c r="A30" s="573"/>
      <c r="B30" s="602" t="s">
        <v>97</v>
      </c>
      <c r="C30" s="583" t="s">
        <v>428</v>
      </c>
      <c r="D30" s="583"/>
      <c r="E30" s="603"/>
      <c r="F30" s="481"/>
      <c r="G30" s="598"/>
      <c r="H30" s="599" t="s">
        <v>90</v>
      </c>
      <c r="I30" s="600">
        <f>'ANNEXURE II'!K15</f>
        <v>0.0</v>
      </c>
      <c r="J30" s="596"/>
      <c r="K30" s="580"/>
      <c r="L30" s="604" t="s">
        <v>90</v>
      </c>
      <c r="M30" s="605">
        <f>SUM(I28:I30)</f>
        <v>19823.0</v>
      </c>
    </row>
    <row r="31" spans="8:8">
      <c r="A31" s="573">
        <v>3.0</v>
      </c>
      <c r="B31" s="606" t="s">
        <v>161</v>
      </c>
      <c r="C31" s="607"/>
      <c r="D31" s="607"/>
      <c r="E31" s="607"/>
      <c r="F31" s="607"/>
      <c r="G31" s="608"/>
      <c r="H31" s="576"/>
      <c r="I31" s="595"/>
      <c r="J31" s="596"/>
      <c r="K31" s="580"/>
      <c r="L31" s="579" t="s">
        <v>90</v>
      </c>
      <c r="M31" s="593">
        <f>M26-M30</f>
        <v>780746.0</v>
      </c>
    </row>
    <row r="32" spans="8:8">
      <c r="A32" s="573">
        <v>4.0</v>
      </c>
      <c r="B32" s="606" t="s">
        <v>107</v>
      </c>
      <c r="C32" s="607"/>
      <c r="D32" s="607"/>
      <c r="E32" s="607"/>
      <c r="F32" s="607"/>
      <c r="G32" s="608"/>
      <c r="H32" s="576"/>
      <c r="I32" s="595"/>
      <c r="J32" s="596"/>
      <c r="K32" s="580"/>
      <c r="L32" s="579"/>
      <c r="M32" s="581"/>
    </row>
    <row r="33" spans="8:8">
      <c r="A33" s="573"/>
      <c r="B33" s="582" t="s">
        <v>92</v>
      </c>
      <c r="C33" s="603" t="s">
        <v>430</v>
      </c>
      <c r="D33" s="597"/>
      <c r="E33" s="481"/>
      <c r="F33" s="481"/>
      <c r="G33" s="609"/>
      <c r="H33" s="599" t="s">
        <v>90</v>
      </c>
      <c r="I33" s="600">
        <v>0.0</v>
      </c>
      <c r="J33" s="596"/>
      <c r="K33" s="580"/>
      <c r="L33" s="579"/>
      <c r="M33" s="581"/>
    </row>
    <row r="34" spans="8:8">
      <c r="A34" s="573"/>
      <c r="B34" s="582" t="s">
        <v>94</v>
      </c>
      <c r="C34" s="597" t="s">
        <v>162</v>
      </c>
      <c r="D34" s="597"/>
      <c r="E34" s="576"/>
      <c r="F34" s="481"/>
      <c r="G34" s="609"/>
      <c r="H34" s="599" t="s">
        <v>90</v>
      </c>
      <c r="I34" s="600">
        <f>'ANNEXURE II'!K14</f>
        <v>2400.0</v>
      </c>
      <c r="J34" s="596"/>
      <c r="K34" s="580"/>
      <c r="L34" s="579"/>
      <c r="M34" s="581"/>
    </row>
    <row r="35" spans="8:8">
      <c r="A35" s="573"/>
      <c r="B35" s="610" t="s">
        <v>97</v>
      </c>
      <c r="C35" s="611" t="s">
        <v>561</v>
      </c>
      <c r="D35" s="611"/>
      <c r="E35" s="612"/>
      <c r="F35" s="481"/>
      <c r="G35" s="612"/>
      <c r="H35" s="584" t="s">
        <v>90</v>
      </c>
      <c r="I35" s="585">
        <f>'ANNEXURE II'!K16</f>
        <v>50000.0</v>
      </c>
      <c r="J35" s="613"/>
      <c r="K35" s="580"/>
      <c r="L35" s="613"/>
      <c r="M35" s="581"/>
    </row>
    <row r="36" spans="8:8">
      <c r="A36" s="573">
        <v>5.0</v>
      </c>
      <c r="B36" s="606" t="s">
        <v>163</v>
      </c>
      <c r="C36" s="607"/>
      <c r="D36" s="607"/>
      <c r="E36" s="607"/>
      <c r="F36" s="607"/>
      <c r="G36" s="607"/>
      <c r="H36" s="591"/>
      <c r="I36" s="592"/>
      <c r="J36" s="579"/>
      <c r="K36" s="580"/>
      <c r="L36" s="604" t="s">
        <v>90</v>
      </c>
      <c r="M36" s="605">
        <f>SUM(I33:I35)</f>
        <v>52400.0</v>
      </c>
    </row>
    <row r="37" spans="8:8">
      <c r="A37" s="573">
        <v>6.0</v>
      </c>
      <c r="B37" s="614" t="s">
        <v>164</v>
      </c>
      <c r="C37" s="615"/>
      <c r="D37" s="615"/>
      <c r="E37" s="615"/>
      <c r="F37" s="615"/>
      <c r="G37" s="615"/>
      <c r="H37" s="591"/>
      <c r="I37" s="592"/>
      <c r="J37" s="579"/>
      <c r="K37" s="580"/>
      <c r="L37" s="616" t="s">
        <v>90</v>
      </c>
      <c r="M37" s="617">
        <f>M31-M36</f>
        <v>728346.0</v>
      </c>
    </row>
    <row r="38" spans="8:8">
      <c r="A38" s="573">
        <v>7.0</v>
      </c>
      <c r="B38" s="594" t="s">
        <v>165</v>
      </c>
      <c r="C38" s="583"/>
      <c r="D38" s="583"/>
      <c r="E38" s="583"/>
      <c r="F38" s="583"/>
      <c r="G38" s="583"/>
      <c r="H38" s="591"/>
      <c r="I38" s="592"/>
      <c r="J38" s="579"/>
      <c r="K38" s="580"/>
      <c r="L38" s="618" t="s">
        <v>90</v>
      </c>
      <c r="M38" s="619">
        <v>0.0</v>
      </c>
    </row>
    <row r="39" spans="8:8">
      <c r="A39" s="573"/>
      <c r="B39" s="594" t="s">
        <v>166</v>
      </c>
      <c r="C39" s="583"/>
      <c r="D39" s="583"/>
      <c r="E39" s="583"/>
      <c r="F39" s="583"/>
      <c r="G39" s="583"/>
      <c r="H39" s="591"/>
      <c r="I39" s="592"/>
      <c r="J39" s="579"/>
      <c r="K39" s="580"/>
      <c r="L39" s="618" t="s">
        <v>90</v>
      </c>
      <c r="M39" s="619">
        <v>0.0</v>
      </c>
    </row>
    <row r="40" spans="8:8">
      <c r="A40" s="573"/>
      <c r="B40" s="620"/>
      <c r="C40"/>
      <c r="D40"/>
      <c r="E40"/>
      <c r="F40"/>
      <c r="G40"/>
      <c r="H40" s="591"/>
      <c r="I40" s="592"/>
      <c r="J40" s="579"/>
      <c r="K40" s="580"/>
      <c r="L40"/>
      <c r="M40" s="621"/>
    </row>
    <row r="41" spans="8:8" ht="16.5">
      <c r="A41" s="573">
        <v>8.0</v>
      </c>
      <c r="B41" s="574" t="s">
        <v>167</v>
      </c>
      <c r="C41" s="575"/>
      <c r="D41" s="575"/>
      <c r="E41" s="575"/>
      <c r="F41" s="622"/>
      <c r="G41" s="576"/>
      <c r="H41" s="591"/>
      <c r="I41" s="592"/>
      <c r="J41" s="579"/>
      <c r="K41" s="580"/>
      <c r="L41" s="623" t="s">
        <v>90</v>
      </c>
      <c r="M41" s="624">
        <f>M37+M38+M39-M40</f>
        <v>728346.0</v>
      </c>
    </row>
    <row r="42" spans="8:8">
      <c r="A42" s="573">
        <v>9.0</v>
      </c>
      <c r="B42" s="606" t="s">
        <v>168</v>
      </c>
      <c r="C42" s="607"/>
      <c r="D42" s="607"/>
      <c r="E42" s="607"/>
      <c r="F42" s="607"/>
      <c r="G42" s="576"/>
      <c r="H42" s="591"/>
      <c r="I42" s="625"/>
      <c r="J42" s="579"/>
      <c r="K42" s="580"/>
      <c r="L42" s="579"/>
      <c r="M42" s="581"/>
    </row>
    <row r="43" spans="8:8">
      <c r="A43" s="626" t="s">
        <v>169</v>
      </c>
      <c r="B43" s="627" t="s">
        <v>170</v>
      </c>
      <c r="C43" s="628"/>
      <c r="D43" s="628"/>
      <c r="E43" s="628"/>
      <c r="F43" s="516" t="s">
        <v>171</v>
      </c>
      <c r="G43" s="597"/>
      <c r="H43" s="629" t="s">
        <v>172</v>
      </c>
      <c r="I43" s="630"/>
      <c r="J43" s="629" t="s">
        <v>173</v>
      </c>
      <c r="K43" s="630"/>
      <c r="L43" s="576"/>
      <c r="M43" s="581"/>
    </row>
    <row r="44" spans="8:8">
      <c r="A44" s="573"/>
      <c r="B44" s="631" t="s">
        <v>92</v>
      </c>
      <c r="C44" s="632" t="s">
        <v>174</v>
      </c>
      <c r="D44" s="633"/>
      <c r="E44" s="633"/>
      <c r="F44" s="516" t="s">
        <v>175</v>
      </c>
      <c r="G44" s="597"/>
      <c r="H44" s="582"/>
      <c r="I44" s="598" t="s">
        <v>175</v>
      </c>
      <c r="J44" s="597"/>
      <c r="K44" s="598" t="s">
        <v>175</v>
      </c>
      <c r="L44" s="576"/>
      <c r="M44" s="581"/>
    </row>
    <row r="45" spans="8:8">
      <c r="A45" s="573"/>
      <c r="B45" s="634" t="s">
        <v>176</v>
      </c>
      <c r="C45" s="579" t="str">
        <f>'ANNEXURE II'!C38</f>
        <v>CPS</v>
      </c>
      <c r="D45" s="579"/>
      <c r="E45" s="635" t="s">
        <v>90</v>
      </c>
      <c r="F45" s="600">
        <f>'ANNEXURE II'!K38</f>
        <v>64179.0</v>
      </c>
      <c r="G45" s="635"/>
      <c r="H45" s="618" t="s">
        <v>90</v>
      </c>
      <c r="I45" s="585">
        <f t="shared" si="0" ref="I45:I55">F45</f>
        <v>64179.0</v>
      </c>
      <c r="J45" s="635" t="s">
        <v>90</v>
      </c>
      <c r="K45" s="585">
        <f>I45</f>
        <v>64179.0</v>
      </c>
      <c r="L45" s="579"/>
      <c r="M45" s="581"/>
    </row>
    <row r="46" spans="8:8">
      <c r="A46" s="573"/>
      <c r="B46" s="634" t="s">
        <v>177</v>
      </c>
      <c r="C46" s="579" t="str">
        <f>'ANNEXURE II'!C39:D39</f>
        <v>APGLI</v>
      </c>
      <c r="D46" s="579"/>
      <c r="E46" s="635" t="s">
        <v>90</v>
      </c>
      <c r="F46" s="600">
        <f>'ANNEXURE II'!K39</f>
        <v>12000.0</v>
      </c>
      <c r="G46" s="635"/>
      <c r="H46" s="618" t="s">
        <v>90</v>
      </c>
      <c r="I46" s="585">
        <f t="shared" si="0"/>
        <v>12000.0</v>
      </c>
      <c r="J46" s="635" t="s">
        <v>90</v>
      </c>
      <c r="K46" s="585">
        <f t="shared" si="1" ref="K46:K54">I46</f>
        <v>12000.0</v>
      </c>
      <c r="L46" s="579"/>
      <c r="M46" s="581"/>
    </row>
    <row r="47" spans="8:8">
      <c r="A47" s="573"/>
      <c r="B47" s="634" t="s">
        <v>178</v>
      </c>
      <c r="C47" s="579" t="str">
        <f>'ANNEXURE II'!C40</f>
        <v>GIS</v>
      </c>
      <c r="D47" s="579"/>
      <c r="E47" s="635" t="s">
        <v>90</v>
      </c>
      <c r="F47" s="600">
        <f>'ANNEXURE II'!K40</f>
        <v>360.0</v>
      </c>
      <c r="G47" s="635"/>
      <c r="H47" s="618" t="s">
        <v>90</v>
      </c>
      <c r="I47" s="585">
        <f t="shared" si="0"/>
        <v>360.0</v>
      </c>
      <c r="J47" s="635" t="s">
        <v>90</v>
      </c>
      <c r="K47" s="585">
        <f t="shared" si="1"/>
        <v>360.0</v>
      </c>
      <c r="L47" s="579"/>
      <c r="M47" s="581"/>
    </row>
    <row r="48" spans="8:8">
      <c r="A48" s="573"/>
      <c r="B48" s="634" t="s">
        <v>179</v>
      </c>
      <c r="C48" s="613" t="str">
        <f>'ANNEXURE II'!C41</f>
        <v>LIC (Salary)</v>
      </c>
      <c r="D48" s="613"/>
      <c r="E48" s="635" t="s">
        <v>90</v>
      </c>
      <c r="F48" s="600">
        <f>'ANNEXURE II'!K41</f>
        <v>0.0</v>
      </c>
      <c r="G48" s="635"/>
      <c r="H48" s="618" t="s">
        <v>90</v>
      </c>
      <c r="I48" s="585">
        <f t="shared" si="0"/>
        <v>0.0</v>
      </c>
      <c r="J48" s="635" t="s">
        <v>90</v>
      </c>
      <c r="K48" s="585">
        <f t="shared" si="1"/>
        <v>0.0</v>
      </c>
      <c r="L48" s="579"/>
      <c r="M48" s="581"/>
    </row>
    <row r="49" spans="8:8">
      <c r="A49" s="573"/>
      <c r="B49" s="634" t="s">
        <v>180</v>
      </c>
      <c r="C49" s="636" t="str">
        <f>'ANNEXURE II'!C42</f>
        <v>Life Insurance Premium</v>
      </c>
      <c r="D49" s="636"/>
      <c r="E49" s="635" t="s">
        <v>90</v>
      </c>
      <c r="F49" s="600">
        <f>'ANNEXURE II'!K42</f>
        <v>0.0</v>
      </c>
      <c r="G49" s="635"/>
      <c r="H49" s="618" t="s">
        <v>90</v>
      </c>
      <c r="I49" s="585">
        <f t="shared" si="0"/>
        <v>0.0</v>
      </c>
      <c r="J49" s="635" t="s">
        <v>90</v>
      </c>
      <c r="K49" s="585">
        <f t="shared" si="1"/>
        <v>0.0</v>
      </c>
      <c r="L49" s="579"/>
      <c r="M49" s="581"/>
    </row>
    <row r="50" spans="8:8">
      <c r="A50" s="573"/>
      <c r="B50" s="634" t="s">
        <v>181</v>
      </c>
      <c r="C50" s="637" t="str">
        <f>'ANNEXURE II'!C43</f>
        <v>Children’s Tuition Fees</v>
      </c>
      <c r="D50" s="638"/>
      <c r="E50" s="635" t="s">
        <v>90</v>
      </c>
      <c r="F50" s="600">
        <f>'ANNEXURE II'!K43</f>
        <v>0.0</v>
      </c>
      <c r="G50" s="635"/>
      <c r="H50" s="618" t="s">
        <v>90</v>
      </c>
      <c r="I50" s="585">
        <f t="shared" si="0"/>
        <v>0.0</v>
      </c>
      <c r="J50" s="635" t="s">
        <v>90</v>
      </c>
      <c r="K50" s="585">
        <f t="shared" si="1"/>
        <v>0.0</v>
      </c>
      <c r="L50" s="579"/>
      <c r="M50" s="581"/>
    </row>
    <row r="51" spans="8:8">
      <c r="A51" s="573"/>
      <c r="B51" s="634" t="s">
        <v>182</v>
      </c>
      <c r="C51" s="639" t="str">
        <f>'ANNEXURE II'!C44</f>
        <v>National Savings Certificates (NSC)</v>
      </c>
      <c r="D51" s="639"/>
      <c r="E51" s="635" t="s">
        <v>90</v>
      </c>
      <c r="F51" s="600">
        <f>'ANNEXURE II'!K44</f>
        <v>0.0</v>
      </c>
      <c r="G51" s="635"/>
      <c r="H51" s="618" t="s">
        <v>90</v>
      </c>
      <c r="I51" s="585">
        <f t="shared" si="0"/>
        <v>0.0</v>
      </c>
      <c r="J51" s="635" t="s">
        <v>90</v>
      </c>
      <c r="K51" s="585">
        <f t="shared" si="1"/>
        <v>0.0</v>
      </c>
      <c r="L51" s="579"/>
      <c r="M51" s="581"/>
    </row>
    <row r="52" spans="8:8">
      <c r="A52" s="573"/>
      <c r="B52" s="634" t="s">
        <v>183</v>
      </c>
      <c r="C52" s="639" t="str">
        <f>'ANNEXURE II'!C45</f>
        <v>Exide Life Insurance</v>
      </c>
      <c r="D52" s="639"/>
      <c r="E52" s="635" t="s">
        <v>90</v>
      </c>
      <c r="F52" s="600">
        <f>'ANNEXURE II'!K45</f>
        <v>0.0</v>
      </c>
      <c r="G52" s="635"/>
      <c r="H52" s="618" t="s">
        <v>90</v>
      </c>
      <c r="I52" s="585">
        <f t="shared" si="0"/>
        <v>0.0</v>
      </c>
      <c r="J52" s="635" t="s">
        <v>90</v>
      </c>
      <c r="K52" s="585">
        <f t="shared" si="1"/>
        <v>0.0</v>
      </c>
      <c r="L52" s="596"/>
      <c r="M52" s="581" t="s">
        <v>48</v>
      </c>
    </row>
    <row r="53" spans="8:8">
      <c r="A53" s="573"/>
      <c r="B53" s="634" t="s">
        <v>184</v>
      </c>
      <c r="C53" s="639" t="str">
        <f>'ANNEXURE II'!C46</f>
        <v>Sukanya Samriddhi Account Deposit Scheme</v>
      </c>
      <c r="D53" s="639"/>
      <c r="E53" s="640" t="s">
        <v>90</v>
      </c>
      <c r="F53" s="600">
        <f>'ANNEXURE II'!K46</f>
        <v>0.0</v>
      </c>
      <c r="G53" s="613"/>
      <c r="H53" s="641" t="s">
        <v>90</v>
      </c>
      <c r="I53" s="585">
        <f t="shared" si="0"/>
        <v>0.0</v>
      </c>
      <c r="J53" s="640" t="s">
        <v>90</v>
      </c>
      <c r="K53" s="585">
        <f t="shared" si="1"/>
        <v>0.0</v>
      </c>
      <c r="L53" s="596"/>
      <c r="M53" s="581"/>
    </row>
    <row r="54" spans="8:8">
      <c r="A54" s="573"/>
      <c r="B54" s="634" t="s">
        <v>185</v>
      </c>
      <c r="C54" s="642" t="str">
        <f>'ANNEXURE II'!C47</f>
        <v>Repayment of Home Loan (Principal only)</v>
      </c>
      <c r="D54" s="642"/>
      <c r="E54" s="579" t="s">
        <v>90</v>
      </c>
      <c r="F54" s="600">
        <f>'ANNEXURE II'!K47</f>
        <v>0.0</v>
      </c>
      <c r="G54" s="643"/>
      <c r="H54" s="613" t="s">
        <v>90</v>
      </c>
      <c r="I54" s="585">
        <f t="shared" si="0"/>
        <v>0.0</v>
      </c>
      <c r="J54" s="596" t="s">
        <v>90</v>
      </c>
      <c r="K54" s="585">
        <f t="shared" si="1"/>
        <v>0.0</v>
      </c>
      <c r="L54" s="596"/>
      <c r="M54" s="581"/>
    </row>
    <row r="55" spans="8:8">
      <c r="A55" s="573"/>
      <c r="B55" s="634" t="s">
        <v>186</v>
      </c>
      <c r="C55" s="644" t="str">
        <f>'ANNEXURE II'!C48:G48</f>
        <v>Other</v>
      </c>
      <c r="E55" s="579" t="s">
        <v>90</v>
      </c>
      <c r="F55" s="600">
        <f>'ANNEXURE II'!K48</f>
        <v>0.0</v>
      </c>
      <c r="G55" s="643"/>
      <c r="H55" s="596" t="s">
        <v>90</v>
      </c>
      <c r="I55" s="585">
        <f t="shared" si="0"/>
        <v>0.0</v>
      </c>
      <c r="J55" s="596" t="s">
        <v>90</v>
      </c>
      <c r="K55" s="585">
        <f>I55</f>
        <v>0.0</v>
      </c>
      <c r="L55" s="579"/>
      <c r="M55" s="581"/>
    </row>
    <row r="56" spans="8:8">
      <c r="A56" s="573"/>
      <c r="B56" s="596"/>
      <c r="C56" s="645" t="s">
        <v>187</v>
      </c>
      <c r="D56" s="645"/>
      <c r="E56" s="645"/>
      <c r="F56" s="645"/>
      <c r="G56" s="646"/>
      <c r="H56" s="613" t="s">
        <v>90</v>
      </c>
      <c r="I56" s="395">
        <f>SUM(I45:I55)</f>
        <v>76539.0</v>
      </c>
      <c r="J56" s="596" t="s">
        <v>90</v>
      </c>
      <c r="K56" s="647">
        <f>IF(I56&gt;150000,150000,I56)</f>
        <v>76539.0</v>
      </c>
      <c r="L56" s="648" t="s">
        <v>90</v>
      </c>
      <c r="M56" s="593">
        <f>K56</f>
        <v>76539.0</v>
      </c>
    </row>
    <row r="57" spans="8:8">
      <c r="A57" s="573"/>
      <c r="B57" s="649" t="s">
        <v>94</v>
      </c>
      <c r="C57" s="650" t="str">
        <f>'ANNEXURE II'!B51</f>
        <v>National Pension Scheme U/s 80CCD(1)B</v>
      </c>
      <c r="D57" s="579"/>
      <c r="E57" s="579"/>
      <c r="F57" s="595"/>
      <c r="G57" s="579"/>
      <c r="H57" s="596"/>
      <c r="I57" s="592"/>
      <c r="J57" s="579"/>
      <c r="K57" s="592"/>
      <c r="L57" s="579"/>
      <c r="M57" s="581"/>
    </row>
    <row r="58" spans="8:8">
      <c r="A58" s="573"/>
      <c r="B58" s="651" t="s">
        <v>176</v>
      </c>
      <c r="C58" s="652" t="s">
        <v>188</v>
      </c>
      <c r="D58" s="652"/>
      <c r="E58" s="635" t="s">
        <v>90</v>
      </c>
      <c r="F58" s="600">
        <f>IF(Data!C24="CPS",Data!W134,Data!E74)</f>
        <v>0.0</v>
      </c>
      <c r="G58" s="635"/>
      <c r="H58" s="618" t="s">
        <v>90</v>
      </c>
      <c r="I58" s="585">
        <f>F58</f>
        <v>0.0</v>
      </c>
      <c r="J58" s="635" t="s">
        <v>90</v>
      </c>
      <c r="K58" s="585">
        <f>I58</f>
        <v>0.0</v>
      </c>
      <c r="L58" s="653" t="s">
        <v>90</v>
      </c>
      <c r="M58" s="654">
        <f>K58</f>
        <v>0.0</v>
      </c>
    </row>
    <row r="59" spans="8:8" ht="15.75">
      <c r="A59" s="573"/>
      <c r="B59" s="655"/>
      <c r="C59" s="656"/>
      <c r="D59" s="656"/>
      <c r="E59" s="656"/>
      <c r="F59" s="656"/>
      <c r="G59" s="656"/>
      <c r="H59" s="656"/>
      <c r="I59" s="656"/>
      <c r="J59" s="656"/>
      <c r="K59" s="657"/>
      <c r="L59" s="658"/>
      <c r="M59" s="659">
        <f>M56+M58</f>
        <v>76539.0</v>
      </c>
    </row>
    <row r="60" spans="8:8">
      <c r="A60" s="660"/>
      <c r="B60" s="661"/>
      <c r="C60" s="662"/>
      <c r="D60" s="662"/>
      <c r="E60" s="662"/>
      <c r="F60" s="662"/>
      <c r="G60" s="663"/>
      <c r="H60" s="663"/>
      <c r="I60" s="663"/>
      <c r="J60" s="663"/>
      <c r="K60" s="664"/>
      <c r="L60" s="665"/>
      <c r="M60" s="666"/>
    </row>
    <row r="61" spans="8:8" ht="15.75">
      <c r="A61" s="667" t="s">
        <v>189</v>
      </c>
      <c r="B61" s="668"/>
      <c r="C61" s="669" t="s">
        <v>190</v>
      </c>
      <c r="D61" s="669"/>
      <c r="E61" s="669"/>
      <c r="F61" s="669"/>
      <c r="G61" s="669"/>
      <c r="H61" s="669"/>
      <c r="I61" s="669"/>
      <c r="J61" s="669"/>
      <c r="K61" s="669"/>
      <c r="L61" s="669"/>
      <c r="M61" s="670"/>
    </row>
    <row r="62" spans="8:8" ht="16.5">
      <c r="A62" s="671"/>
      <c r="B62" s="672"/>
      <c r="C62" s="673" t="s">
        <v>191</v>
      </c>
      <c r="D62" s="673"/>
      <c r="E62" s="673"/>
      <c r="F62" s="673"/>
      <c r="G62" s="673"/>
      <c r="H62" s="673"/>
      <c r="I62" s="673"/>
      <c r="J62" s="673"/>
      <c r="K62" s="673"/>
      <c r="L62" s="673"/>
      <c r="M62" s="674"/>
    </row>
    <row r="63" spans="8:8" ht="17.25">
      <c r="A63" s="675"/>
      <c r="B63" s="676"/>
      <c r="C63" s="437"/>
      <c r="D63" s="437"/>
      <c r="E63" s="437"/>
      <c r="F63" s="437"/>
      <c r="G63" s="437"/>
      <c r="H63" s="437"/>
      <c r="I63" s="437"/>
      <c r="J63" s="437"/>
      <c r="K63" s="437"/>
      <c r="L63" s="437"/>
      <c r="M63" s="437"/>
    </row>
  </sheetData>
  <sheetProtection sheet="0" formatCells="0" selectLockedCells="1"/>
  <protectedRanges>
    <protectedRange sqref="B6:E6 A1:A5 B1:E4 L30:M62 A7:A62 J9:K55 J56 C57:F62 H57:K62 H56 C30:D54 C56:D56 G8:G62 F1:M6 I8:J8 H7:I7 H8:H29 I9:I28 L9:M28 B8:B62 D8 C9:D28 F8:F56 E9:E56 H30:I55" name="Range1"/>
  </protectedRanges>
  <mergeCells count="69">
    <mergeCell ref="A62:B62"/>
    <mergeCell ref="C24:G24"/>
    <mergeCell ref="C61:M61"/>
    <mergeCell ref="A61:B61"/>
    <mergeCell ref="C58:D58"/>
    <mergeCell ref="C56:F56"/>
    <mergeCell ref="B41:E41"/>
    <mergeCell ref="C54:D54"/>
    <mergeCell ref="A1:M1"/>
    <mergeCell ref="J43:K43"/>
    <mergeCell ref="A18:M18"/>
    <mergeCell ref="C62:M62"/>
    <mergeCell ref="B27:G27"/>
    <mergeCell ref="H7:M7"/>
    <mergeCell ref="A4:G4"/>
    <mergeCell ref="B39:G39"/>
    <mergeCell ref="A19:M19"/>
    <mergeCell ref="H13:K13"/>
    <mergeCell ref="B36:G36"/>
    <mergeCell ref="B37:G37"/>
    <mergeCell ref="B38:G38"/>
    <mergeCell ref="B42:F42"/>
    <mergeCell ref="B59:K59"/>
    <mergeCell ref="A2:M3"/>
    <mergeCell ref="H15:I17"/>
    <mergeCell ref="H4:M4"/>
    <mergeCell ref="A11:C11"/>
    <mergeCell ref="H14:I14"/>
    <mergeCell ref="D8:F8"/>
    <mergeCell ref="J14:K14"/>
    <mergeCell ref="D16:G16"/>
    <mergeCell ref="A12:M12"/>
    <mergeCell ref="D14:G14"/>
    <mergeCell ref="H43:I43"/>
    <mergeCell ref="A14:C14"/>
    <mergeCell ref="H5:M5"/>
    <mergeCell ref="H8:M8"/>
    <mergeCell ref="B20:D20"/>
    <mergeCell ref="A15:C15"/>
    <mergeCell ref="D11:G11"/>
    <mergeCell ref="D9:G9"/>
    <mergeCell ref="L13:M13"/>
    <mergeCell ref="H9:M9"/>
    <mergeCell ref="A17:C17"/>
    <mergeCell ref="D17:G17"/>
    <mergeCell ref="D13:G13"/>
    <mergeCell ref="B31:G31"/>
    <mergeCell ref="B32:G32"/>
    <mergeCell ref="C23:G23"/>
    <mergeCell ref="L14:M14"/>
    <mergeCell ref="B6:F6"/>
    <mergeCell ref="A16:C16"/>
    <mergeCell ref="C21:G21"/>
    <mergeCell ref="H11:J11"/>
    <mergeCell ref="L15:M17"/>
    <mergeCell ref="B8:C8"/>
    <mergeCell ref="A13:C13"/>
    <mergeCell ref="C25:G25"/>
    <mergeCell ref="C30:D30"/>
    <mergeCell ref="D15:G15"/>
    <mergeCell ref="H6:M6"/>
    <mergeCell ref="B5:F5"/>
    <mergeCell ref="A10:G10"/>
    <mergeCell ref="K11:M11"/>
    <mergeCell ref="B7:F7"/>
    <mergeCell ref="J15:K17"/>
    <mergeCell ref="C22:G22"/>
    <mergeCell ref="H10:M10"/>
    <mergeCell ref="A9:C9"/>
  </mergeCells>
  <printOptions horizontalCentered="1" verticalCentered="1"/>
  <pageMargins left="0.236220472440945" right="0.236220472440945" top="0.354330708661417" bottom="0.354330708661417" header="0.31496062992126" footer="0.31496062992126"/>
  <pageSetup paperSize="9" scale="88"/>
  <headerFooter>
    <oddFooter>&amp;C&amp;"Book Antiqua,Regular"&amp;9STUAP, KADAPA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tabColor rgb="FF92D050"/>
  </sheetPr>
  <dimension ref="A1:O66"/>
  <sheetViews>
    <sheetView workbookViewId="0" showGridLines="0" showRowColHeaders="0">
      <selection activeCell="B1" sqref="B1:F1"/>
    </sheetView>
  </sheetViews>
  <sheetFormatPr defaultRowHeight="15.0" defaultColWidth="10"/>
  <cols>
    <col min="1" max="1" customWidth="1" width="3.8554688" style="0"/>
    <col min="2" max="2" customWidth="1" width="0.5703125" style="0"/>
    <col min="3" max="3" customWidth="1" width="6.5703125" style="0"/>
    <col min="5" max="5" customWidth="1" width="7.2851562" style="0"/>
    <col min="6" max="6" customWidth="1" width="18.140625" style="0"/>
    <col min="7" max="7" customWidth="1" width="3.5703125" style="0"/>
    <col min="8" max="10" customWidth="1" width="12.7109375" style="0"/>
    <col min="11" max="11" customWidth="1" width="3.4257812" style="0"/>
    <col min="12" max="12" customWidth="1" width="12.7109375" style="0"/>
  </cols>
  <sheetData>
    <row r="1" spans="8:8" ht="15.75">
      <c r="A1" s="677" t="s">
        <v>231</v>
      </c>
      <c r="B1" s="678" t="s">
        <v>230</v>
      </c>
      <c r="C1" s="678"/>
      <c r="D1" s="678"/>
      <c r="E1" s="678"/>
      <c r="F1" s="678"/>
      <c r="G1" s="679" t="s">
        <v>171</v>
      </c>
      <c r="H1" s="679"/>
      <c r="I1" s="680" t="s">
        <v>172</v>
      </c>
      <c r="J1" s="680" t="s">
        <v>173</v>
      </c>
      <c r="K1" s="681"/>
      <c r="L1" s="682"/>
    </row>
    <row r="2" spans="8:8">
      <c r="A2" s="683"/>
      <c r="B2" s="684" t="s">
        <v>229</v>
      </c>
      <c r="C2" s="684"/>
      <c r="D2" s="684"/>
      <c r="E2" s="684"/>
      <c r="F2" s="684"/>
      <c r="G2" s="685" t="s">
        <v>175</v>
      </c>
      <c r="H2" s="685"/>
      <c r="I2" s="686" t="s">
        <v>175</v>
      </c>
      <c r="J2" s="686" t="s">
        <v>175</v>
      </c>
      <c r="K2" s="687"/>
      <c r="L2" s="688"/>
    </row>
    <row r="3" spans="8:8" ht="14.25" customHeight="1">
      <c r="A3" s="689"/>
      <c r="B3" s="690" t="str">
        <f>'ANNEXURE II'!C23</f>
        <v>80DDB Expenditure on Medical Treatment S.Citizen</v>
      </c>
      <c r="C3" s="691"/>
      <c r="D3" s="691"/>
      <c r="E3" s="691"/>
      <c r="F3" s="691"/>
      <c r="G3" s="692" t="s">
        <v>90</v>
      </c>
      <c r="H3" s="693">
        <f>'ANNEXURE II'!K23</f>
        <v>0.0</v>
      </c>
      <c r="I3" s="694">
        <f t="shared" si="0" ref="I3:I15">H3</f>
        <v>0.0</v>
      </c>
      <c r="J3" s="695">
        <f t="shared" si="1" ref="J3:J15">H3</f>
        <v>0.0</v>
      </c>
      <c r="K3" s="687"/>
      <c r="L3" s="688"/>
    </row>
    <row r="4" spans="8:8" ht="14.25" customHeight="1">
      <c r="A4" s="689"/>
      <c r="B4" s="690" t="str">
        <f>'ANNEXURE II'!C24</f>
        <v>80D Preventive Health Checkup  Dependent Parents</v>
      </c>
      <c r="C4" s="696"/>
      <c r="D4" s="696"/>
      <c r="E4" s="696"/>
      <c r="F4" s="696"/>
      <c r="G4" s="692" t="s">
        <v>90</v>
      </c>
      <c r="H4" s="693">
        <f>'ANNEXURE II'!K24</f>
        <v>0.0</v>
      </c>
      <c r="I4" s="694">
        <f t="shared" si="0"/>
        <v>0.0</v>
      </c>
      <c r="J4" s="695">
        <f t="shared" si="1"/>
        <v>0.0</v>
      </c>
      <c r="K4" s="687"/>
      <c r="L4" s="688"/>
    </row>
    <row r="5" spans="8:8" ht="11.25" customHeight="1">
      <c r="A5" s="689"/>
      <c r="B5" s="690" t="str">
        <f>'ANNEXURE II'!C25</f>
        <v>80D Medical Insurance Premium  Spouse</v>
      </c>
      <c r="C5" s="696"/>
      <c r="D5" s="696"/>
      <c r="E5" s="696"/>
      <c r="F5" s="696"/>
      <c r="G5" s="692" t="s">
        <v>90</v>
      </c>
      <c r="H5" s="693">
        <f>'ANNEXURE II'!K25</f>
        <v>0.0</v>
      </c>
      <c r="I5" s="694">
        <f t="shared" si="0"/>
        <v>0.0</v>
      </c>
      <c r="J5" s="695">
        <f t="shared" si="1"/>
        <v>0.0</v>
      </c>
      <c r="K5" s="687"/>
      <c r="L5" s="688"/>
    </row>
    <row r="6" spans="8:8" ht="14.25" customHeight="1">
      <c r="A6" s="689"/>
      <c r="B6" s="690" t="str">
        <f>'ANNEXURE II'!C26</f>
        <v>80G Donation of Charitable Trust Charitable Trust</v>
      </c>
      <c r="C6" s="696"/>
      <c r="D6" s="696"/>
      <c r="E6" s="696"/>
      <c r="F6" s="696"/>
      <c r="G6" s="692" t="s">
        <v>90</v>
      </c>
      <c r="H6" s="693">
        <f>'ANNEXURE II'!K26</f>
        <v>0.0</v>
      </c>
      <c r="I6" s="694">
        <f t="shared" si="0"/>
        <v>0.0</v>
      </c>
      <c r="J6" s="695">
        <f t="shared" si="1"/>
        <v>0.0</v>
      </c>
      <c r="K6" s="687"/>
      <c r="L6" s="688"/>
    </row>
    <row r="7" spans="8:8" ht="14.25" customHeight="1">
      <c r="A7" s="689"/>
      <c r="B7" s="697" t="str">
        <f>'ANNEXURE II'!C27</f>
        <v>80G CMRF</v>
      </c>
      <c r="C7" s="698"/>
      <c r="D7" s="698"/>
      <c r="E7" s="698"/>
      <c r="F7" s="698"/>
      <c r="G7" s="692" t="s">
        <v>90</v>
      </c>
      <c r="H7" s="693">
        <f>'ANNEXURE II'!K27</f>
        <v>0.0</v>
      </c>
      <c r="I7" s="694">
        <f>H7</f>
        <v>0.0</v>
      </c>
      <c r="J7" s="695">
        <f>I7</f>
        <v>0.0</v>
      </c>
      <c r="K7" s="687"/>
      <c r="L7" s="688"/>
    </row>
    <row r="8" spans="8:8" ht="14.25" customHeight="1">
      <c r="A8" s="689"/>
      <c r="B8" s="690" t="str">
        <f>'ANNEXURE II'!C28</f>
        <v>80U Deduction for disabled person &gt;40%</v>
      </c>
      <c r="C8" s="696"/>
      <c r="D8" s="696"/>
      <c r="E8" s="696"/>
      <c r="F8" s="696"/>
      <c r="G8" s="692" t="s">
        <v>90</v>
      </c>
      <c r="H8" s="693">
        <f>'ANNEXURE II'!K28</f>
        <v>0.0</v>
      </c>
      <c r="I8" s="694">
        <f t="shared" si="0"/>
        <v>0.0</v>
      </c>
      <c r="J8" s="695">
        <f t="shared" si="1"/>
        <v>0.0</v>
      </c>
      <c r="K8" s="687"/>
      <c r="L8" s="688"/>
    </row>
    <row r="9" spans="8:8" ht="13.5" customHeight="1">
      <c r="A9" s="689"/>
      <c r="B9" s="690" t="str">
        <f>'ANNEXURE II'!C29</f>
        <v>80D Deduction for Disabled dependent NotApplicable</v>
      </c>
      <c r="C9" s="696"/>
      <c r="D9" s="696"/>
      <c r="E9" s="696"/>
      <c r="F9" s="696"/>
      <c r="G9" s="692" t="s">
        <v>90</v>
      </c>
      <c r="H9" s="693">
        <f>'ANNEXURE II'!K29</f>
        <v>0.0</v>
      </c>
      <c r="I9" s="694">
        <f t="shared" si="0"/>
        <v>0.0</v>
      </c>
      <c r="J9" s="695">
        <f t="shared" si="1"/>
        <v>0.0</v>
      </c>
      <c r="K9" s="687"/>
      <c r="L9" s="688"/>
    </row>
    <row r="10" spans="8:8" ht="15.0" customHeight="1">
      <c r="A10" s="689"/>
      <c r="B10" s="690" t="str">
        <f>'ANNEXURE II'!C30</f>
        <v>80E Interest on Educational Loan</v>
      </c>
      <c r="C10" s="696"/>
      <c r="D10" s="696"/>
      <c r="E10" s="696"/>
      <c r="F10" s="696"/>
      <c r="G10" s="692" t="s">
        <v>90</v>
      </c>
      <c r="H10" s="693">
        <f>'ANNEXURE II'!K30</f>
        <v>0.0</v>
      </c>
      <c r="I10" s="694">
        <f t="shared" si="0"/>
        <v>0.0</v>
      </c>
      <c r="J10" s="695">
        <f t="shared" si="1"/>
        <v>0.0</v>
      </c>
      <c r="K10" s="687"/>
      <c r="L10" s="688"/>
    </row>
    <row r="11" spans="8:8" ht="13.5" customHeight="1">
      <c r="A11" s="689"/>
      <c r="B11" s="699" t="str">
        <f>'ANNEXURE II'!C31</f>
        <v>24B Interest of Housing Loan</v>
      </c>
      <c r="C11" s="700"/>
      <c r="D11" s="700"/>
      <c r="E11" s="700"/>
      <c r="F11" s="700"/>
      <c r="G11" s="692" t="s">
        <v>90</v>
      </c>
      <c r="H11" s="693">
        <f>'ANNEXURE II'!K31</f>
        <v>0.0</v>
      </c>
      <c r="I11" s="694">
        <f>'ANNEXURE II'!L31</f>
        <v>0.0</v>
      </c>
      <c r="J11" s="695">
        <f>I11</f>
        <v>0.0</v>
      </c>
      <c r="K11" s="687"/>
      <c r="L11" s="688"/>
    </row>
    <row r="12" spans="8:8" ht="13.5" customHeight="1">
      <c r="A12" s="689"/>
      <c r="B12" s="701" t="str">
        <f>'ANNEXURE II'!C32</f>
        <v>80G E.W.F, &amp; S.W.F</v>
      </c>
      <c r="C12" s="424"/>
      <c r="D12" s="424"/>
      <c r="E12" s="424"/>
      <c r="F12" s="424"/>
      <c r="G12" s="692" t="s">
        <v>90</v>
      </c>
      <c r="H12" s="693">
        <f>'ANNEXURE II'!K32</f>
        <v>70.0</v>
      </c>
      <c r="I12" s="694">
        <f t="shared" si="0"/>
        <v>70.0</v>
      </c>
      <c r="J12" s="695">
        <f t="shared" si="1"/>
        <v>70.0</v>
      </c>
      <c r="K12" s="687"/>
      <c r="L12" s="688"/>
    </row>
    <row r="13" spans="8:8" ht="13.5" customHeight="1">
      <c r="A13" s="689"/>
      <c r="B13" s="701" t="str">
        <f>'ANNEXURE II'!C33</f>
        <v>80D Contribution to Medical Heath Scheme</v>
      </c>
      <c r="C13" s="424"/>
      <c r="D13" s="424"/>
      <c r="E13" s="424"/>
      <c r="F13" s="424"/>
      <c r="G13" s="692" t="s">
        <v>90</v>
      </c>
      <c r="H13" s="693">
        <f>'ANNEXURE II'!K33</f>
        <v>2430.0</v>
      </c>
      <c r="I13" s="694">
        <f t="shared" si="0"/>
        <v>2430.0</v>
      </c>
      <c r="J13" s="695">
        <f t="shared" si="1"/>
        <v>2430.0</v>
      </c>
      <c r="K13" s="687"/>
      <c r="L13" s="688"/>
    </row>
    <row r="14" spans="8:8" ht="13.5" customHeight="1">
      <c r="A14" s="689"/>
      <c r="B14" s="701" t="str">
        <f>'ANNEXURE II'!C33</f>
        <v>80D Contribution to Medical Heath Scheme</v>
      </c>
      <c r="C14" s="424"/>
      <c r="D14" s="424"/>
      <c r="E14" s="424"/>
      <c r="F14" s="424"/>
      <c r="G14" s="692" t="s">
        <v>90</v>
      </c>
      <c r="H14" s="693">
        <f>'ANNEXURE II'!K34</f>
        <v>0.0</v>
      </c>
      <c r="I14" s="694">
        <f>H14</f>
        <v>0.0</v>
      </c>
      <c r="J14" s="695">
        <f>H14</f>
        <v>0.0</v>
      </c>
      <c r="K14" s="687"/>
      <c r="L14" s="688"/>
    </row>
    <row r="15" spans="8:8" ht="13.5" customHeight="1">
      <c r="A15" s="689"/>
      <c r="B15" s="701" t="str">
        <f>'ANNEXURE II'!C34</f>
        <v>Any Other</v>
      </c>
      <c r="C15" s="424"/>
      <c r="D15" s="424"/>
      <c r="E15" s="702" t="str">
        <f>'ANNEXURE II'!F34</f>
        <v>(                                               )</v>
      </c>
      <c r="F15" s="702"/>
      <c r="G15" s="692" t="s">
        <v>90</v>
      </c>
      <c r="H15" s="693">
        <f>'ANNEXURE II'!K34</f>
        <v>0.0</v>
      </c>
      <c r="I15" s="694">
        <f t="shared" si="0"/>
        <v>0.0</v>
      </c>
      <c r="J15" s="695">
        <f t="shared" si="1"/>
        <v>0.0</v>
      </c>
      <c r="K15" s="687"/>
      <c r="L15" s="688"/>
    </row>
    <row r="16" spans="8:8">
      <c r="A16" s="683"/>
      <c r="B16" s="703"/>
      <c r="C16" s="703"/>
      <c r="D16" s="703"/>
      <c r="E16" s="703"/>
      <c r="F16" s="704" t="s">
        <v>228</v>
      </c>
      <c r="G16" s="704"/>
      <c r="H16" s="704"/>
      <c r="I16" s="705"/>
      <c r="J16" s="706"/>
      <c r="K16" s="707" t="s">
        <v>90</v>
      </c>
      <c r="L16" s="708">
        <f>SUM(J3:J15)</f>
        <v>2500.0</v>
      </c>
    </row>
    <row r="17" spans="8:8" ht="15.75">
      <c r="A17" s="683">
        <v>10.0</v>
      </c>
      <c r="B17" s="428" t="s">
        <v>227</v>
      </c>
      <c r="C17" s="429"/>
      <c r="D17" s="429"/>
      <c r="E17" s="429"/>
      <c r="F17" s="429"/>
      <c r="G17" s="429"/>
      <c r="H17" s="429"/>
      <c r="I17" s="709"/>
      <c r="J17" s="710"/>
      <c r="K17" s="711" t="s">
        <v>90</v>
      </c>
      <c r="L17" s="712">
        <f>L16+'FORM16(PAGE1)'!M59</f>
        <v>79039.0</v>
      </c>
    </row>
    <row r="18" spans="8:8" ht="10.5" customHeight="1">
      <c r="A18" s="683"/>
      <c r="B18" s="687"/>
      <c r="C18" s="687"/>
      <c r="D18" s="687"/>
      <c r="E18" s="687"/>
      <c r="F18" s="687"/>
      <c r="G18" s="687"/>
      <c r="H18" s="687"/>
      <c r="I18" s="713"/>
      <c r="J18" s="710"/>
      <c r="K18" s="714"/>
      <c r="L18" s="715"/>
    </row>
    <row r="19" spans="8:8" ht="15.75">
      <c r="A19" s="683">
        <v>11.0</v>
      </c>
      <c r="B19" s="429" t="s">
        <v>226</v>
      </c>
      <c r="C19" s="429"/>
      <c r="D19" s="429"/>
      <c r="E19" s="429"/>
      <c r="F19" s="429"/>
      <c r="G19" s="429"/>
      <c r="H19" s="429"/>
      <c r="I19" s="713"/>
      <c r="J19" s="710"/>
      <c r="K19" s="714" t="s">
        <v>90</v>
      </c>
      <c r="L19" s="716">
        <f>MROUND('FORM16(PAGE1)'!M41-L17,10)</f>
        <v>649310.0</v>
      </c>
    </row>
    <row r="20" spans="8:8">
      <c r="A20" s="683">
        <v>12.0</v>
      </c>
      <c r="B20" s="429" t="s">
        <v>225</v>
      </c>
      <c r="C20" s="429"/>
      <c r="D20" s="429"/>
      <c r="E20" s="429"/>
      <c r="F20" s="429"/>
      <c r="G20" s="429"/>
      <c r="H20" s="429"/>
      <c r="I20" s="713"/>
      <c r="J20" s="710"/>
      <c r="K20" s="717" t="s">
        <v>90</v>
      </c>
      <c r="L20" s="718">
        <f>SUM('ANNEXURE II'!L54:L57)</f>
        <v>42362.0</v>
      </c>
    </row>
    <row r="21" spans="8:8">
      <c r="A21" s="683"/>
      <c r="B21" s="719"/>
      <c r="C21" s="389" t="s">
        <v>674</v>
      </c>
      <c r="D21" s="389"/>
      <c r="E21" s="389"/>
      <c r="F21" s="389"/>
      <c r="G21" s="389"/>
      <c r="H21" s="720"/>
      <c r="I21" s="713"/>
      <c r="J21" s="710"/>
      <c r="K21" s="717" t="s">
        <v>90</v>
      </c>
      <c r="L21" s="718">
        <f>'ANNEXURE II'!L58</f>
        <v>0.0</v>
      </c>
    </row>
    <row r="22" spans="8:8">
      <c r="A22" s="683">
        <v>13.0</v>
      </c>
      <c r="C22" t="s">
        <v>224</v>
      </c>
      <c r="I22" s="713"/>
      <c r="J22" s="710"/>
      <c r="K22" s="717" t="s">
        <v>90</v>
      </c>
      <c r="L22" s="718">
        <f>L20-L21</f>
        <v>42362.0</v>
      </c>
    </row>
    <row r="23" spans="8:8">
      <c r="A23" s="683">
        <v>14.0</v>
      </c>
      <c r="B23" s="721" t="s">
        <v>568</v>
      </c>
      <c r="C23" s="400"/>
      <c r="D23" s="400"/>
      <c r="E23" s="400"/>
      <c r="F23" s="400"/>
      <c r="G23" s="400"/>
      <c r="H23" s="400"/>
      <c r="I23" s="722"/>
      <c r="J23" s="713"/>
      <c r="L23" s="718">
        <f>'ANNEXURE II'!L60</f>
        <v>1694.0</v>
      </c>
    </row>
    <row r="24" spans="8:8" ht="15.75">
      <c r="A24" s="683">
        <v>15.0</v>
      </c>
      <c r="B24" s="429" t="s">
        <v>571</v>
      </c>
      <c r="C24" s="429"/>
      <c r="D24" s="429"/>
      <c r="E24" s="429"/>
      <c r="F24" s="429"/>
      <c r="G24" s="429"/>
      <c r="H24" s="429"/>
      <c r="I24" s="713"/>
      <c r="J24" s="710"/>
      <c r="K24" s="717" t="s">
        <v>90</v>
      </c>
      <c r="L24" s="723">
        <f>ROUND(SUM(L22:L23),0)</f>
        <v>44056.0</v>
      </c>
    </row>
    <row r="25" spans="8:8">
      <c r="A25" s="683">
        <v>16.0</v>
      </c>
      <c r="B25" s="399" t="s">
        <v>666</v>
      </c>
      <c r="C25" s="399"/>
      <c r="D25" s="399"/>
      <c r="E25" s="399"/>
      <c r="F25" s="399"/>
      <c r="G25" s="399"/>
      <c r="H25" s="399"/>
      <c r="I25" s="713"/>
      <c r="J25" s="710"/>
      <c r="K25" s="717" t="s">
        <v>90</v>
      </c>
      <c r="L25" s="718">
        <f>'ANNEXURE II'!L62</f>
        <v>0.0</v>
      </c>
    </row>
    <row r="26" spans="8:8" ht="15.75">
      <c r="A26" s="683">
        <v>17.0</v>
      </c>
      <c r="B26" s="429" t="s">
        <v>223</v>
      </c>
      <c r="C26" s="429"/>
      <c r="D26" s="429"/>
      <c r="E26" s="429"/>
      <c r="F26" s="429"/>
      <c r="G26" s="429"/>
      <c r="H26" s="429"/>
      <c r="I26" s="713"/>
      <c r="J26" s="710"/>
      <c r="K26" s="717" t="s">
        <v>90</v>
      </c>
      <c r="L26" s="723">
        <v>0.0</v>
      </c>
    </row>
    <row r="27" spans="8:8" ht="15.75">
      <c r="A27" s="683">
        <v>18.0</v>
      </c>
      <c r="B27" s="724" t="s">
        <v>222</v>
      </c>
      <c r="C27" s="399"/>
      <c r="D27" s="399"/>
      <c r="E27" s="399"/>
      <c r="F27" s="399"/>
      <c r="G27" s="399"/>
      <c r="H27" s="399"/>
      <c r="I27" s="713"/>
      <c r="J27" s="710"/>
      <c r="K27" s="717" t="s">
        <v>90</v>
      </c>
      <c r="L27" s="718">
        <v>0.0</v>
      </c>
    </row>
    <row r="28" spans="8:8">
      <c r="A28" s="683"/>
      <c r="B28" s="400"/>
      <c r="C28" s="725" t="s">
        <v>221</v>
      </c>
      <c r="D28" s="725"/>
      <c r="E28" s="725"/>
      <c r="F28" s="725"/>
      <c r="G28" s="725"/>
      <c r="H28" s="725"/>
      <c r="I28" s="713"/>
      <c r="J28" s="710"/>
      <c r="K28" s="717" t="s">
        <v>90</v>
      </c>
      <c r="L28" s="718"/>
    </row>
    <row r="29" spans="8:8">
      <c r="A29" s="683"/>
      <c r="B29" s="400"/>
      <c r="C29" s="399" t="s">
        <v>220</v>
      </c>
      <c r="D29" s="399"/>
      <c r="E29" s="399"/>
      <c r="F29" s="399"/>
      <c r="G29" s="399"/>
      <c r="H29" s="399"/>
      <c r="I29" s="713"/>
      <c r="J29" s="710"/>
      <c r="K29" s="717" t="s">
        <v>90</v>
      </c>
      <c r="L29" s="718">
        <f>'ANNEXURE II'!G67</f>
        <v>0.0</v>
      </c>
    </row>
    <row r="30" spans="8:8" ht="15.75">
      <c r="A30" s="726">
        <v>19.0</v>
      </c>
      <c r="B30" s="727" t="s">
        <v>219</v>
      </c>
      <c r="C30" s="727"/>
      <c r="D30" s="727"/>
      <c r="E30" s="727"/>
      <c r="F30" s="727"/>
      <c r="G30" s="728"/>
      <c r="H30" s="729"/>
      <c r="I30" s="730"/>
      <c r="J30" s="731"/>
      <c r="K30" s="732" t="s">
        <v>90</v>
      </c>
      <c r="L30" s="723">
        <f>L24-(L29+L25)</f>
        <v>44056.0</v>
      </c>
    </row>
    <row r="31" spans="8:8" ht="7.5" customHeight="1">
      <c r="A31" s="733"/>
      <c r="B31" s="734"/>
      <c r="C31" s="734"/>
      <c r="D31" s="734"/>
      <c r="E31" s="734"/>
      <c r="F31" s="734"/>
      <c r="G31" s="734"/>
      <c r="H31" s="734"/>
      <c r="I31" s="735"/>
      <c r="J31" s="736"/>
      <c r="K31" s="734"/>
      <c r="L31" s="737"/>
    </row>
    <row r="32" spans="8:8" ht="4.5" customHeight="1">
      <c r="A32" s="738"/>
      <c r="B32" s="687"/>
      <c r="C32" s="687"/>
      <c r="D32" s="687"/>
      <c r="E32" s="687"/>
      <c r="F32" s="687"/>
      <c r="G32" s="687"/>
      <c r="H32" s="687"/>
      <c r="I32" s="687"/>
      <c r="J32" s="687"/>
      <c r="K32" s="687"/>
      <c r="L32" s="739"/>
    </row>
    <row r="33" spans="8:8">
      <c r="A33" s="740" t="s">
        <v>218</v>
      </c>
      <c r="B33" s="741"/>
      <c r="C33" s="741"/>
      <c r="D33" s="741"/>
      <c r="E33" s="741"/>
      <c r="F33" s="741"/>
      <c r="G33" s="741"/>
      <c r="H33" s="741"/>
      <c r="I33" s="741"/>
      <c r="J33" s="741"/>
      <c r="K33" s="741"/>
      <c r="L33" s="742"/>
    </row>
    <row r="34" spans="8:8">
      <c r="A34" s="743" t="s">
        <v>217</v>
      </c>
      <c r="B34" s="744"/>
      <c r="C34" s="744"/>
      <c r="D34" s="744"/>
      <c r="E34" s="744"/>
      <c r="F34" s="744"/>
      <c r="G34" s="744"/>
      <c r="H34" s="744"/>
      <c r="I34" s="744"/>
      <c r="J34" s="744"/>
      <c r="K34" s="744"/>
      <c r="L34" s="745"/>
    </row>
    <row r="35" spans="8:8" ht="8.25" customHeight="1">
      <c r="A35" s="738"/>
      <c r="B35" s="687"/>
      <c r="C35" s="687"/>
      <c r="D35" s="687"/>
      <c r="E35" s="687"/>
      <c r="F35" s="687"/>
      <c r="G35" s="687"/>
      <c r="H35" s="687"/>
      <c r="I35" s="687"/>
      <c r="J35" s="687"/>
      <c r="K35" s="687"/>
      <c r="L35" s="739"/>
    </row>
    <row r="36" spans="8:8">
      <c r="A36" s="746" t="s">
        <v>216</v>
      </c>
      <c r="B36" s="747" t="s">
        <v>215</v>
      </c>
      <c r="C36" s="748"/>
      <c r="D36" s="749" t="s">
        <v>214</v>
      </c>
      <c r="E36" s="750" t="s">
        <v>213</v>
      </c>
      <c r="F36" s="750" t="s">
        <v>212</v>
      </c>
      <c r="G36" s="747" t="s">
        <v>211</v>
      </c>
      <c r="H36" s="751"/>
      <c r="I36" s="752" t="s">
        <v>210</v>
      </c>
      <c r="J36" s="752" t="s">
        <v>209</v>
      </c>
      <c r="K36" s="747" t="s">
        <v>208</v>
      </c>
      <c r="L36" s="753"/>
    </row>
    <row r="37" spans="8:8">
      <c r="A37" s="754" t="s">
        <v>207</v>
      </c>
      <c r="B37" s="755" t="s">
        <v>90</v>
      </c>
      <c r="C37" s="426"/>
      <c r="D37" s="699" t="s">
        <v>90</v>
      </c>
      <c r="E37" s="756" t="s">
        <v>206</v>
      </c>
      <c r="F37" s="756" t="s">
        <v>200</v>
      </c>
      <c r="G37" s="755" t="s">
        <v>205</v>
      </c>
      <c r="H37" s="427"/>
      <c r="I37" s="757" t="s">
        <v>204</v>
      </c>
      <c r="J37" s="757" t="s">
        <v>203</v>
      </c>
      <c r="K37" s="755" t="s">
        <v>202</v>
      </c>
      <c r="L37" s="758"/>
    </row>
    <row r="38" spans="8:8">
      <c r="A38" s="759"/>
      <c r="B38" s="760"/>
      <c r="C38" s="761"/>
      <c r="D38" s="762"/>
      <c r="E38" s="762" t="s">
        <v>90</v>
      </c>
      <c r="F38" s="762" t="s">
        <v>90</v>
      </c>
      <c r="G38" s="760"/>
      <c r="H38" s="763"/>
      <c r="I38" s="764" t="s">
        <v>201</v>
      </c>
      <c r="J38" s="764" t="s">
        <v>200</v>
      </c>
      <c r="K38" s="760" t="s">
        <v>199</v>
      </c>
      <c r="L38" s="765"/>
    </row>
    <row r="39" spans="8:8">
      <c r="A39" s="766">
        <v>1.0</v>
      </c>
      <c r="B39" s="767"/>
      <c r="C39" s="768"/>
      <c r="D39" s="767"/>
      <c r="E39" s="767"/>
      <c r="F39" s="767"/>
      <c r="G39" s="767"/>
      <c r="H39" s="769"/>
      <c r="I39" s="769"/>
      <c r="J39" s="769"/>
      <c r="K39" s="767"/>
      <c r="L39" s="770"/>
    </row>
    <row r="40" spans="8:8">
      <c r="A40" s="766">
        <v>2.0</v>
      </c>
      <c r="B40" s="767"/>
      <c r="C40" s="768"/>
      <c r="D40" s="767"/>
      <c r="E40" s="767"/>
      <c r="F40" s="767"/>
      <c r="G40" s="767"/>
      <c r="H40" s="769"/>
      <c r="I40" s="769"/>
      <c r="J40" s="769"/>
      <c r="K40" s="767"/>
      <c r="L40" s="770"/>
    </row>
    <row r="41" spans="8:8">
      <c r="A41" s="766">
        <v>3.0</v>
      </c>
      <c r="B41" s="767"/>
      <c r="C41" s="768"/>
      <c r="D41" s="767"/>
      <c r="E41" s="767"/>
      <c r="F41" s="767"/>
      <c r="G41" s="767"/>
      <c r="H41" s="769"/>
      <c r="I41" s="769"/>
      <c r="J41" s="769"/>
      <c r="K41" s="767"/>
      <c r="L41" s="770"/>
    </row>
    <row r="42" spans="8:8">
      <c r="A42" s="766">
        <v>4.0</v>
      </c>
      <c r="B42" s="767"/>
      <c r="C42" s="768"/>
      <c r="D42" s="767"/>
      <c r="E42" s="767"/>
      <c r="F42" s="767"/>
      <c r="G42" s="767"/>
      <c r="H42" s="769"/>
      <c r="I42" s="769"/>
      <c r="J42" s="769"/>
      <c r="K42" s="767"/>
      <c r="L42" s="770"/>
    </row>
    <row r="43" spans="8:8">
      <c r="A43" s="766">
        <v>5.0</v>
      </c>
      <c r="B43" s="767"/>
      <c r="C43" s="768"/>
      <c r="D43" s="767"/>
      <c r="E43" s="767"/>
      <c r="F43" s="767"/>
      <c r="G43" s="767"/>
      <c r="H43" s="769"/>
      <c r="I43" s="769"/>
      <c r="J43" s="769"/>
      <c r="K43" s="767"/>
      <c r="L43" s="770"/>
    </row>
    <row r="44" spans="8:8">
      <c r="A44" s="766">
        <v>6.0</v>
      </c>
      <c r="B44" s="771"/>
      <c r="C44" s="772"/>
      <c r="D44" s="773"/>
      <c r="E44" s="774"/>
      <c r="F44" s="774"/>
      <c r="G44" s="771"/>
      <c r="H44" s="775"/>
      <c r="I44" s="776"/>
      <c r="J44" s="776"/>
      <c r="K44" s="771"/>
      <c r="L44" s="777"/>
    </row>
    <row r="45" spans="8:8">
      <c r="A45" s="766">
        <v>7.0</v>
      </c>
      <c r="B45" s="773"/>
      <c r="C45" s="778"/>
      <c r="D45" s="773"/>
      <c r="E45" s="774"/>
      <c r="F45" s="774"/>
      <c r="G45" s="773"/>
      <c r="H45" s="776"/>
      <c r="I45" s="776"/>
      <c r="J45" s="776"/>
      <c r="K45" s="773"/>
      <c r="L45" s="779"/>
    </row>
    <row r="46" spans="8:8">
      <c r="A46" s="766">
        <v>8.0</v>
      </c>
      <c r="B46" s="771"/>
      <c r="C46" s="772"/>
      <c r="D46" s="773"/>
      <c r="E46" s="780"/>
      <c r="F46" s="780"/>
      <c r="G46" s="771"/>
      <c r="H46" s="775"/>
      <c r="I46" s="776"/>
      <c r="J46" s="776"/>
      <c r="K46" s="771"/>
      <c r="L46" s="777"/>
    </row>
    <row r="47" spans="8:8">
      <c r="A47" s="766">
        <v>9.0</v>
      </c>
      <c r="B47" s="773"/>
      <c r="C47" s="778"/>
      <c r="D47" s="773"/>
      <c r="E47" s="780"/>
      <c r="F47" s="780"/>
      <c r="G47" s="773"/>
      <c r="H47" s="776"/>
      <c r="I47" s="776"/>
      <c r="J47" s="776"/>
      <c r="K47" s="773"/>
      <c r="L47" s="779"/>
    </row>
    <row r="48" spans="8:8">
      <c r="A48" s="766">
        <v>10.0</v>
      </c>
      <c r="B48" s="773"/>
      <c r="C48" s="778"/>
      <c r="D48" s="773"/>
      <c r="E48" s="780"/>
      <c r="F48" s="780"/>
      <c r="G48" s="773"/>
      <c r="H48" s="776"/>
      <c r="I48" s="776"/>
      <c r="J48" s="776"/>
      <c r="K48" s="773"/>
      <c r="L48" s="779"/>
    </row>
    <row r="49" spans="8:8">
      <c r="A49" s="766">
        <v>11.0</v>
      </c>
      <c r="B49" s="771"/>
      <c r="C49" s="775"/>
      <c r="D49" s="773"/>
      <c r="E49" s="780"/>
      <c r="F49" s="780"/>
      <c r="G49" s="771"/>
      <c r="H49" s="775"/>
      <c r="I49" s="776"/>
      <c r="J49" s="776"/>
      <c r="K49" s="771"/>
      <c r="L49" s="777"/>
    </row>
    <row r="50" spans="8:8">
      <c r="A50" s="766">
        <v>12.0</v>
      </c>
      <c r="B50" s="771"/>
      <c r="C50" s="775"/>
      <c r="D50" s="773"/>
      <c r="E50" s="780"/>
      <c r="F50" s="780"/>
      <c r="G50" s="771"/>
      <c r="H50" s="775"/>
      <c r="I50" s="776"/>
      <c r="J50" s="776"/>
      <c r="K50" s="771"/>
      <c r="L50" s="777"/>
    </row>
    <row r="51" spans="8:8">
      <c r="A51" s="738"/>
      <c r="B51" s="687"/>
      <c r="C51" s="687"/>
      <c r="D51" s="687"/>
      <c r="E51" s="687"/>
      <c r="F51" s="687"/>
      <c r="G51" s="748"/>
      <c r="H51" s="748"/>
      <c r="I51" s="687"/>
      <c r="J51" s="687"/>
      <c r="K51" s="687"/>
      <c r="L51" s="739"/>
    </row>
    <row r="52" spans="8:8" ht="15.0" customHeight="1">
      <c r="A52" s="781" t="str">
        <f>CONCATENATE("          I  ",Data!C15," working as ",Data!C16,"  do  hereby  certify  that  the  sum  of  Rs.",L24,"/-","  (",(Sheet4!B109),")")</f>
        <v>          I  M.JAYAVELU working as Mandal Educational Officer  do  hereby  certify  that  the  sum  of  Rs.44056/-  (Rupees  Forty Four Thousand   And Fifty Six Only)</v>
      </c>
      <c r="B52" s="782"/>
      <c r="C52" s="782"/>
      <c r="D52" s="782"/>
      <c r="E52" s="782"/>
      <c r="F52" s="782"/>
      <c r="G52" s="782"/>
      <c r="H52" s="782"/>
      <c r="I52" s="782"/>
      <c r="J52" s="782"/>
      <c r="K52" s="782"/>
      <c r="L52" s="783"/>
    </row>
    <row r="53" spans="8:8" ht="16.5" customHeight="1">
      <c r="A53" s="781"/>
      <c r="B53" s="782"/>
      <c r="C53" s="782"/>
      <c r="D53" s="782"/>
      <c r="E53" s="782"/>
      <c r="F53" s="782"/>
      <c r="G53" s="782"/>
      <c r="H53" s="782"/>
      <c r="I53" s="782"/>
      <c r="J53" s="782"/>
      <c r="K53" s="782"/>
      <c r="L53" s="783"/>
    </row>
    <row r="54" spans="8:8">
      <c r="A54" s="784" t="s">
        <v>198</v>
      </c>
      <c r="B54" s="785"/>
      <c r="C54" s="785"/>
      <c r="D54" s="785"/>
      <c r="E54" s="785"/>
      <c r="F54" s="785"/>
      <c r="G54" s="785"/>
      <c r="H54" s="785"/>
      <c r="I54" s="785"/>
      <c r="J54" s="785"/>
      <c r="K54" s="785"/>
      <c r="L54" s="786"/>
    </row>
    <row r="55" spans="8:8">
      <c r="A55" s="784"/>
      <c r="B55" s="785"/>
      <c r="C55" s="785"/>
      <c r="D55" s="785"/>
      <c r="E55" s="785"/>
      <c r="F55" s="785"/>
      <c r="G55" s="785"/>
      <c r="H55" s="785"/>
      <c r="I55" s="785"/>
      <c r="J55" s="785"/>
      <c r="K55" s="785"/>
      <c r="L55" s="786"/>
    </row>
    <row r="56" spans="8:8">
      <c r="A56" s="784"/>
      <c r="B56" s="785"/>
      <c r="C56" s="785"/>
      <c r="D56" s="785"/>
      <c r="E56" s="785"/>
      <c r="F56" s="785"/>
      <c r="G56" s="785"/>
      <c r="H56" s="785"/>
      <c r="I56" s="785"/>
      <c r="J56" s="785"/>
      <c r="K56" s="785"/>
      <c r="L56" s="786"/>
    </row>
    <row r="57" spans="8:8">
      <c r="A57" s="784"/>
      <c r="B57" s="785"/>
      <c r="C57" s="785"/>
      <c r="D57" s="785"/>
      <c r="E57" s="785"/>
      <c r="F57" s="785"/>
      <c r="G57" s="785"/>
      <c r="H57" s="785"/>
      <c r="I57" s="785"/>
      <c r="J57" s="785"/>
      <c r="K57" s="785"/>
      <c r="L57" s="786"/>
    </row>
    <row r="58" spans="8:8" ht="2.25" customHeight="1">
      <c r="A58" s="738"/>
      <c r="B58" s="687"/>
      <c r="C58" s="687"/>
      <c r="D58" s="687"/>
      <c r="E58" s="687"/>
      <c r="F58" s="687"/>
      <c r="G58" s="687"/>
      <c r="H58" s="687"/>
      <c r="I58" s="687"/>
      <c r="J58" s="687"/>
      <c r="K58" s="687"/>
      <c r="L58" s="739"/>
    </row>
    <row r="59" spans="8:8" ht="15.0" hidden="1">
      <c r="A59" s="738"/>
      <c r="B59" s="687"/>
      <c r="C59" s="687"/>
      <c r="D59" s="687"/>
      <c r="E59" s="687"/>
      <c r="F59" s="687"/>
      <c r="G59" s="687"/>
      <c r="H59" s="687"/>
      <c r="I59" s="687"/>
      <c r="J59" s="687"/>
      <c r="K59" s="687"/>
      <c r="L59" s="739"/>
    </row>
    <row r="60" spans="8:8">
      <c r="A60" s="787"/>
      <c r="B60" s="714"/>
      <c r="C60" s="714"/>
      <c r="D60" s="714"/>
      <c r="E60" s="714"/>
      <c r="F60" s="714" t="s">
        <v>197</v>
      </c>
      <c r="G60" s="714"/>
      <c r="H60" s="714"/>
      <c r="I60" s="714"/>
      <c r="J60" s="714"/>
      <c r="K60" s="714"/>
      <c r="L60" s="788"/>
    </row>
    <row r="61" spans="8:8">
      <c r="A61" s="787"/>
      <c r="B61" s="714"/>
      <c r="C61" s="714"/>
      <c r="D61" s="714"/>
      <c r="E61" s="714"/>
      <c r="F61" s="714"/>
      <c r="G61" s="714"/>
      <c r="H61" s="714"/>
      <c r="I61" s="714"/>
      <c r="J61" s="714"/>
      <c r="K61" s="714"/>
      <c r="L61" s="788"/>
    </row>
    <row r="62" spans="8:8">
      <c r="A62" s="789" t="s">
        <v>196</v>
      </c>
      <c r="B62" s="399"/>
      <c r="C62" s="399"/>
      <c r="D62" s="399"/>
      <c r="E62" s="714"/>
      <c r="F62" s="790" t="s">
        <v>195</v>
      </c>
      <c r="G62" s="790"/>
      <c r="H62" s="714"/>
      <c r="I62" s="790"/>
      <c r="J62" s="714"/>
      <c r="K62" s="714"/>
      <c r="L62" s="791"/>
    </row>
    <row r="63" spans="8:8">
      <c r="A63" s="789" t="s">
        <v>194</v>
      </c>
      <c r="B63" s="399"/>
      <c r="C63" s="399"/>
      <c r="D63" s="399"/>
      <c r="E63" s="400"/>
      <c r="F63" s="400" t="s">
        <v>193</v>
      </c>
      <c r="G63" s="792" t="str">
        <f>Data!C15</f>
        <v>M.JAYAVELU</v>
      </c>
      <c r="H63" s="792"/>
      <c r="I63" s="792"/>
      <c r="J63" s="792"/>
      <c r="K63" s="714"/>
      <c r="L63" s="793"/>
    </row>
    <row r="64" spans="8:8">
      <c r="A64" s="787"/>
      <c r="B64" s="714"/>
      <c r="C64" s="714"/>
      <c r="D64" s="714"/>
      <c r="E64" s="794"/>
      <c r="F64" s="460" t="s">
        <v>192</v>
      </c>
      <c r="G64" s="795" t="str">
        <f>Data!C16</f>
        <v>Mandal Educational Officer</v>
      </c>
      <c r="H64" s="795"/>
      <c r="I64" s="795"/>
      <c r="J64" s="795"/>
      <c r="K64" s="714"/>
      <c r="L64" s="793"/>
    </row>
    <row r="65" spans="8:8" ht="15.75">
      <c r="A65" s="796"/>
      <c r="B65" s="797"/>
      <c r="C65" s="797"/>
      <c r="D65" s="797"/>
      <c r="E65" s="797"/>
      <c r="F65" s="797"/>
      <c r="G65" s="797"/>
      <c r="H65" s="797"/>
      <c r="I65" s="797"/>
      <c r="J65" s="797"/>
      <c r="K65" s="797"/>
      <c r="L65" s="798"/>
    </row>
    <row r="66" spans="8:8" ht="15.75"/>
  </sheetData>
  <sheetProtection sheet="0" formatCells="0" selectLockedCells="1"/>
  <protectedRanges>
    <protectedRange sqref="B1:D2 B11 C12:C14 C16:D20 B23:D64 B15:B21 A58:A64 A28:A56 B3:C10 A1:A26" name="Range1"/>
    <protectedRange sqref="C21:H21 I23" name="Range1_1"/>
  </protectedRanges>
  <mergeCells count="57">
    <mergeCell ref="G50:H50"/>
    <mergeCell ref="K44:L44"/>
    <mergeCell ref="G37:H37"/>
    <mergeCell ref="K49:L49"/>
    <mergeCell ref="K38:L38"/>
    <mergeCell ref="G64:J64"/>
    <mergeCell ref="B2:F2"/>
    <mergeCell ref="B20:H20"/>
    <mergeCell ref="B17:I17"/>
    <mergeCell ref="G2:H2"/>
    <mergeCell ref="B1:F1"/>
    <mergeCell ref="K36:L36"/>
    <mergeCell ref="G49:H49"/>
    <mergeCell ref="G38:H38"/>
    <mergeCell ref="G44:H44"/>
    <mergeCell ref="G46:H46"/>
    <mergeCell ref="A62:D62"/>
    <mergeCell ref="B3:F3"/>
    <mergeCell ref="B19:H19"/>
    <mergeCell ref="B10:F10"/>
    <mergeCell ref="B8:F8"/>
    <mergeCell ref="B15:D15"/>
    <mergeCell ref="B13:F13"/>
    <mergeCell ref="B6:F6"/>
    <mergeCell ref="G1:H1"/>
    <mergeCell ref="G63:J63"/>
    <mergeCell ref="K46:L46"/>
    <mergeCell ref="G36:H36"/>
    <mergeCell ref="K37:L37"/>
    <mergeCell ref="A63:D63"/>
    <mergeCell ref="A33:L33"/>
    <mergeCell ref="G51:H51"/>
    <mergeCell ref="B50:C50"/>
    <mergeCell ref="B49:C49"/>
    <mergeCell ref="B46:C46"/>
    <mergeCell ref="B44:C44"/>
    <mergeCell ref="B37:C37"/>
    <mergeCell ref="K50:L50"/>
    <mergeCell ref="C29:H29"/>
    <mergeCell ref="B12:F12"/>
    <mergeCell ref="B27:H27"/>
    <mergeCell ref="B14:F14"/>
    <mergeCell ref="E15:F15"/>
    <mergeCell ref="B25:H25"/>
    <mergeCell ref="B36:C36"/>
    <mergeCell ref="B38:C38"/>
    <mergeCell ref="B9:F9"/>
    <mergeCell ref="C28:H28"/>
    <mergeCell ref="B30:F30"/>
    <mergeCell ref="B26:H26"/>
    <mergeCell ref="B24:H24"/>
    <mergeCell ref="B5:F5"/>
    <mergeCell ref="A52:L53"/>
    <mergeCell ref="A34:L34"/>
    <mergeCell ref="A54:L57"/>
    <mergeCell ref="C21:H21"/>
    <mergeCell ref="B4:F4"/>
  </mergeCells>
  <printOptions horizontalCentered="1" verticalCentered="1"/>
  <pageMargins left="0.236220472440945" right="0.236220472440945" top="0.354330708661417" bottom="0.354330708661417" header="0.31496062992126" footer="0.31496062992126"/>
  <pageSetup paperSize="9" scale="89"/>
  <headerFooter>
    <oddFooter>&amp;C&amp;"Book Antiqua,Regular"&amp;9STUAP, KADAPA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tabColor rgb="FFC0514D"/>
  </sheetPr>
  <dimension ref="A1:BF85"/>
  <sheetViews>
    <sheetView workbookViewId="0" showGridLines="0" showRowColHeaders="0">
      <selection activeCell="A2" sqref="A2:AF2"/>
    </sheetView>
  </sheetViews>
  <sheetFormatPr defaultRowHeight="15.0" defaultColWidth="10"/>
  <cols>
    <col min="1" max="32" customWidth="1" width="2.8554688" style="278"/>
    <col min="33" max="16384" customWidth="0" width="9.140625" style="278"/>
  </cols>
  <sheetData>
    <row r="1" spans="8:8">
      <c r="A1" s="799">
        <v>0.0</v>
      </c>
    </row>
    <row r="2" spans="8:8" ht="18.75">
      <c r="A2" s="800" t="s">
        <v>621</v>
      </c>
      <c r="B2" s="800"/>
      <c r="C2" s="800"/>
      <c r="D2" s="800"/>
      <c r="E2" s="800"/>
      <c r="F2" s="800"/>
      <c r="G2" s="800"/>
      <c r="H2" s="800"/>
      <c r="I2" s="800"/>
      <c r="J2" s="800"/>
      <c r="K2" s="800"/>
      <c r="L2" s="800"/>
      <c r="M2" s="800"/>
      <c r="N2" s="800"/>
      <c r="O2" s="800"/>
      <c r="P2" s="800"/>
      <c r="Q2" s="800"/>
      <c r="R2" s="800"/>
      <c r="S2" s="800"/>
      <c r="T2" s="800"/>
      <c r="U2" s="800"/>
      <c r="V2" s="800"/>
      <c r="W2" s="800"/>
      <c r="X2" s="800"/>
      <c r="Y2" s="800"/>
      <c r="Z2" s="800"/>
      <c r="AA2" s="800"/>
      <c r="AB2" s="800"/>
      <c r="AC2" s="800"/>
      <c r="AD2" s="800"/>
      <c r="AE2" s="800"/>
      <c r="AF2" s="800"/>
    </row>
    <row r="3" spans="8:8">
      <c r="A3" s="801" t="s">
        <v>622</v>
      </c>
      <c r="B3" s="801"/>
      <c r="C3" s="801"/>
      <c r="D3" s="801"/>
      <c r="E3" s="801"/>
      <c r="F3" s="801"/>
      <c r="G3" s="801"/>
      <c r="H3" s="801"/>
      <c r="I3" s="801"/>
      <c r="J3" s="801"/>
      <c r="K3" s="801"/>
      <c r="L3" s="801"/>
      <c r="M3" s="801"/>
      <c r="N3" s="801"/>
      <c r="O3" s="801"/>
      <c r="P3" s="801"/>
      <c r="Q3" s="801"/>
      <c r="R3" s="801"/>
      <c r="S3" s="801"/>
      <c r="T3" s="801"/>
      <c r="U3" s="801"/>
      <c r="V3" s="801"/>
      <c r="W3" s="801"/>
      <c r="X3" s="801"/>
      <c r="Y3" s="801"/>
      <c r="Z3" s="801"/>
      <c r="AA3" s="801"/>
      <c r="AB3" s="801"/>
      <c r="AC3" s="801"/>
      <c r="AD3" s="801"/>
      <c r="AE3" s="801"/>
      <c r="AF3" s="801"/>
    </row>
    <row r="4" spans="8:8">
      <c r="A4" s="802" t="s">
        <v>623</v>
      </c>
      <c r="B4" s="802"/>
      <c r="C4" s="802"/>
      <c r="D4" s="802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</row>
    <row r="5" spans="8:8">
      <c r="A5" s="803"/>
      <c r="B5" s="804"/>
      <c r="C5" s="804" t="s">
        <v>624</v>
      </c>
      <c r="D5" s="804"/>
      <c r="E5" s="805">
        <v>2021.0</v>
      </c>
      <c r="F5" s="805"/>
      <c r="G5" s="805"/>
      <c r="H5" s="805"/>
      <c r="I5" s="804"/>
      <c r="J5" s="804"/>
      <c r="K5" s="804"/>
      <c r="L5" s="804"/>
      <c r="M5" s="804"/>
      <c r="N5" s="804"/>
      <c r="O5" s="804"/>
      <c r="P5" s="804"/>
      <c r="Q5" s="804"/>
      <c r="R5" s="804"/>
      <c r="S5" s="804"/>
      <c r="T5" s="804"/>
      <c r="U5" s="804"/>
      <c r="V5" s="804"/>
      <c r="W5" s="804"/>
      <c r="X5" s="804"/>
      <c r="Y5" s="804"/>
      <c r="Z5" s="804"/>
      <c r="AA5" s="804"/>
      <c r="AB5" s="804"/>
      <c r="AC5" s="804"/>
      <c r="AD5" s="804"/>
      <c r="AE5" s="806" t="s">
        <v>625</v>
      </c>
      <c r="AF5" s="804"/>
    </row>
    <row r="6" spans="8:8" ht="15.0" customHeight="1">
      <c r="A6" s="802" t="s">
        <v>626</v>
      </c>
      <c r="B6" s="802"/>
      <c r="C6" s="802"/>
      <c r="D6" s="802"/>
      <c r="E6" s="802"/>
      <c r="F6" s="802"/>
      <c r="G6" s="802"/>
      <c r="H6" s="802"/>
      <c r="I6" s="802"/>
      <c r="J6" s="802"/>
      <c r="K6" s="802"/>
      <c r="L6" s="802"/>
      <c r="M6" s="802"/>
      <c r="N6" s="802"/>
      <c r="O6" s="802"/>
      <c r="P6" s="802"/>
      <c r="Q6" s="802"/>
      <c r="R6" s="802"/>
      <c r="S6" s="802"/>
      <c r="T6" s="802"/>
      <c r="U6" s="802"/>
      <c r="V6" s="802"/>
      <c r="W6" s="802"/>
      <c r="X6" s="802"/>
      <c r="Y6" s="802"/>
      <c r="Z6" s="802"/>
      <c r="AA6" s="802"/>
      <c r="AB6" s="802"/>
      <c r="AC6" s="802"/>
      <c r="AD6" s="802"/>
      <c r="AE6" s="802"/>
      <c r="AF6" s="802"/>
    </row>
    <row r="7" spans="8:8">
      <c r="A7" s="802" t="s">
        <v>627</v>
      </c>
      <c r="B7" s="802"/>
      <c r="C7" s="802"/>
      <c r="D7" s="802"/>
      <c r="E7" s="802"/>
      <c r="F7" s="802"/>
      <c r="G7" s="802"/>
      <c r="H7" s="802"/>
      <c r="I7" s="802"/>
      <c r="J7" s="802"/>
      <c r="K7" s="802"/>
      <c r="L7" s="802"/>
      <c r="M7" s="802"/>
      <c r="N7" s="802"/>
      <c r="O7" s="802"/>
      <c r="P7" s="802"/>
      <c r="Q7" s="802"/>
      <c r="R7" s="802"/>
      <c r="S7" s="802"/>
      <c r="T7" s="802"/>
      <c r="U7" s="802"/>
      <c r="V7" s="802"/>
      <c r="W7" s="802"/>
      <c r="X7" s="802"/>
      <c r="Y7" s="802"/>
      <c r="Z7" s="802"/>
      <c r="AA7" s="802"/>
      <c r="AB7" s="802"/>
      <c r="AC7" s="802"/>
      <c r="AD7" s="802"/>
      <c r="AE7" s="802"/>
      <c r="AF7" s="802"/>
    </row>
    <row r="8" spans="8:8">
      <c r="A8" s="804"/>
      <c r="B8" s="804"/>
      <c r="C8" s="804"/>
      <c r="D8" s="804"/>
      <c r="E8" s="804"/>
      <c r="F8" s="804"/>
      <c r="G8" s="804"/>
      <c r="H8" s="804"/>
      <c r="I8" s="804"/>
      <c r="J8" s="804"/>
      <c r="K8" s="804"/>
      <c r="L8" s="804"/>
      <c r="M8" s="804"/>
      <c r="N8" s="804"/>
      <c r="O8" s="804"/>
      <c r="P8" s="804"/>
      <c r="Q8" s="804"/>
      <c r="R8" s="804"/>
      <c r="S8" s="804"/>
      <c r="T8" s="804"/>
      <c r="U8" s="804"/>
      <c r="V8" s="804"/>
      <c r="W8" s="804"/>
      <c r="X8" s="804"/>
      <c r="Y8" s="804"/>
      <c r="Z8" s="804"/>
      <c r="AA8" s="804"/>
      <c r="AB8" s="804"/>
      <c r="AC8" s="804"/>
      <c r="AD8" s="804"/>
      <c r="AE8" s="804"/>
      <c r="AF8" s="804"/>
    </row>
    <row r="9" spans="8:8" ht="30.0" customHeight="1">
      <c r="A9" s="803"/>
      <c r="B9" s="807">
        <v>1.0</v>
      </c>
      <c r="C9" s="808" t="s">
        <v>628</v>
      </c>
      <c r="D9" s="803"/>
      <c r="E9" s="803"/>
      <c r="F9" s="803"/>
      <c r="G9" s="803"/>
      <c r="H9" s="803"/>
      <c r="I9" s="803"/>
      <c r="J9" s="803"/>
      <c r="K9" s="803"/>
      <c r="L9" s="803"/>
      <c r="M9" s="803" t="s">
        <v>629</v>
      </c>
      <c r="N9" s="809" t="str">
        <f>CONCATENATE(Data!C4," ",Data!D4,", ",Data!D7,", ",Data!D8,", ",Data!D9,", ",Data!D10," ",Data!B10,", ",Data!D11)</f>
        <v>Sri. P. Pothan Prasad, SGT, M.P.P.School, N.R.Palle, Pengalur Mandal, Kadapa</v>
      </c>
      <c r="O9" s="809"/>
      <c r="P9" s="809"/>
      <c r="Q9" s="809"/>
      <c r="R9" s="809"/>
      <c r="S9" s="809"/>
      <c r="T9" s="809"/>
      <c r="U9" s="809"/>
      <c r="V9" s="809"/>
      <c r="W9" s="809"/>
      <c r="X9" s="809"/>
      <c r="Y9" s="809"/>
      <c r="Z9" s="809"/>
      <c r="AA9" s="809"/>
      <c r="AB9" s="809"/>
      <c r="AC9" s="809"/>
      <c r="AD9" s="809"/>
      <c r="AE9" s="809"/>
      <c r="AF9" s="810"/>
    </row>
    <row r="10" spans="8:8">
      <c r="A10" s="803"/>
      <c r="B10" s="807">
        <v>2.0</v>
      </c>
      <c r="C10" s="808" t="s">
        <v>630</v>
      </c>
      <c r="D10" s="803"/>
      <c r="E10" s="803"/>
      <c r="F10" s="803"/>
      <c r="G10" s="803"/>
      <c r="H10" s="803"/>
      <c r="I10" s="803"/>
      <c r="J10" s="803"/>
      <c r="K10" s="803"/>
      <c r="L10" s="803"/>
      <c r="M10" s="803" t="s">
        <v>629</v>
      </c>
      <c r="N10" s="811" t="str">
        <f>Data!D6</f>
        <v>AZKABC2307</v>
      </c>
      <c r="O10" s="811"/>
      <c r="P10" s="811"/>
      <c r="Q10" s="811"/>
      <c r="R10" s="811"/>
      <c r="S10" s="811"/>
      <c r="T10" s="811"/>
      <c r="U10" s="803"/>
      <c r="V10" s="803"/>
      <c r="W10" s="803"/>
      <c r="X10" s="803"/>
      <c r="Y10" s="803"/>
      <c r="Z10" s="803"/>
      <c r="AA10" s="803"/>
      <c r="AB10" s="803"/>
      <c r="AC10" s="803"/>
      <c r="AD10" s="803"/>
      <c r="AE10" s="803"/>
      <c r="AF10" s="803"/>
    </row>
    <row r="11" spans="8:8">
      <c r="A11" s="803"/>
      <c r="B11" s="807">
        <v>3.0</v>
      </c>
      <c r="C11" s="808" t="s">
        <v>631</v>
      </c>
      <c r="D11" s="803"/>
      <c r="E11" s="803"/>
      <c r="F11" s="803"/>
      <c r="G11" s="803"/>
      <c r="H11" s="803"/>
      <c r="I11" s="803"/>
      <c r="J11" s="803"/>
      <c r="K11" s="803"/>
      <c r="L11" s="803"/>
      <c r="M11" s="803" t="s">
        <v>629</v>
      </c>
      <c r="N11" s="811" t="s">
        <v>649</v>
      </c>
      <c r="O11" s="811"/>
      <c r="P11" s="811"/>
      <c r="Q11" s="811"/>
      <c r="R11" s="811"/>
      <c r="S11" s="811"/>
      <c r="T11" s="811"/>
      <c r="U11" s="803"/>
      <c r="V11" s="803"/>
      <c r="W11" s="803"/>
      <c r="X11" s="803"/>
      <c r="Y11" s="803"/>
      <c r="Z11" s="803"/>
      <c r="AA11" s="803"/>
      <c r="AB11" s="803"/>
      <c r="AC11" s="803"/>
      <c r="AD11" s="803"/>
      <c r="AE11" s="803"/>
      <c r="AF11" s="803"/>
    </row>
    <row r="12" spans="8:8">
      <c r="A12" s="803"/>
      <c r="B12" s="803"/>
      <c r="C12" s="803"/>
      <c r="D12" s="803"/>
      <c r="E12" s="803"/>
      <c r="F12" s="803"/>
      <c r="G12" s="803"/>
      <c r="H12" s="803"/>
      <c r="I12" s="803"/>
      <c r="J12" s="803"/>
      <c r="K12" s="803"/>
      <c r="L12" s="803"/>
      <c r="M12" s="803"/>
      <c r="N12" s="803"/>
      <c r="O12" s="803"/>
      <c r="P12" s="803"/>
      <c r="Q12" s="803"/>
      <c r="R12" s="803"/>
      <c r="S12" s="803"/>
      <c r="T12" s="803"/>
      <c r="U12" s="803"/>
      <c r="V12" s="803"/>
      <c r="W12" s="803"/>
      <c r="X12" s="803"/>
      <c r="Y12" s="803"/>
      <c r="Z12" s="803"/>
      <c r="AA12" s="803"/>
      <c r="AB12" s="803"/>
      <c r="AC12" s="803"/>
      <c r="AD12" s="803"/>
      <c r="AE12" s="803"/>
      <c r="AF12" s="803"/>
    </row>
    <row r="13" spans="8:8" ht="15.0" customHeight="1">
      <c r="A13" s="803"/>
      <c r="B13" s="812" t="s">
        <v>632</v>
      </c>
      <c r="C13" s="803"/>
      <c r="D13" s="803"/>
      <c r="E13" s="803"/>
      <c r="F13" s="803"/>
      <c r="G13" s="803"/>
      <c r="H13" s="803"/>
      <c r="I13" s="803"/>
      <c r="J13" s="803"/>
      <c r="K13" s="803"/>
      <c r="L13" s="803"/>
      <c r="M13" s="803"/>
      <c r="N13" s="803"/>
      <c r="O13" s="803"/>
      <c r="P13" s="803"/>
      <c r="Q13" s="803"/>
      <c r="R13" s="803"/>
      <c r="S13" s="803"/>
      <c r="T13" s="803"/>
      <c r="U13" s="803"/>
      <c r="V13" s="803"/>
      <c r="W13" s="803"/>
      <c r="X13" s="803"/>
      <c r="Y13" s="803"/>
      <c r="Z13" s="803"/>
      <c r="AA13" s="803"/>
      <c r="AB13" s="803"/>
      <c r="AC13" s="803"/>
      <c r="AD13" s="803"/>
      <c r="AE13" s="803"/>
      <c r="AF13" s="803"/>
    </row>
    <row r="14" spans="8:8">
      <c r="A14" s="803"/>
      <c r="B14" s="812" t="s">
        <v>609</v>
      </c>
      <c r="C14" s="803"/>
      <c r="D14" s="813" t="s">
        <v>683</v>
      </c>
      <c r="E14" s="813"/>
      <c r="F14" s="813"/>
      <c r="G14" s="813"/>
      <c r="H14" s="803"/>
      <c r="I14" s="803"/>
      <c r="J14" s="803"/>
      <c r="K14" s="803"/>
      <c r="L14" s="803"/>
      <c r="M14" s="803"/>
      <c r="N14" s="803"/>
      <c r="O14" s="803"/>
      <c r="P14" s="803"/>
      <c r="Q14" s="803"/>
      <c r="R14" s="803"/>
      <c r="S14" s="803"/>
      <c r="T14" s="803"/>
      <c r="U14" s="803"/>
      <c r="V14" s="803"/>
      <c r="W14" s="803"/>
      <c r="X14" s="803"/>
      <c r="Y14" s="803"/>
      <c r="Z14" s="803"/>
      <c r="AA14" s="803"/>
      <c r="AB14" s="803"/>
      <c r="AC14" s="803"/>
      <c r="AD14" s="803"/>
      <c r="AE14" s="803"/>
      <c r="AF14" s="803"/>
    </row>
    <row r="15" spans="8:8" ht="15.0" customHeight="1">
      <c r="A15" s="803"/>
      <c r="B15" s="803"/>
      <c r="C15" s="803"/>
      <c r="D15" s="803"/>
      <c r="E15" s="803"/>
      <c r="F15" s="803"/>
      <c r="G15" s="803"/>
      <c r="H15" s="803"/>
      <c r="I15" s="803"/>
      <c r="J15" s="803"/>
      <c r="K15" s="803"/>
      <c r="L15" s="803"/>
      <c r="M15" s="803"/>
      <c r="N15" s="803"/>
      <c r="O15" s="803"/>
      <c r="P15" s="803"/>
      <c r="Q15" s="803"/>
      <c r="R15" s="803"/>
      <c r="S15" s="803"/>
      <c r="T15" s="803"/>
      <c r="U15" s="803"/>
      <c r="V15" s="803"/>
      <c r="W15" s="803"/>
      <c r="X15" s="803"/>
      <c r="Y15" s="803"/>
      <c r="Z15" s="803"/>
      <c r="AA15" s="803"/>
      <c r="AB15" s="803"/>
      <c r="AC15" s="803"/>
      <c r="AD15" s="803"/>
      <c r="AE15" s="803"/>
      <c r="AF15" s="803"/>
    </row>
    <row r="16" spans="8:8">
      <c r="A16" s="803"/>
      <c r="B16" s="807">
        <v>1.0</v>
      </c>
      <c r="C16" s="803" t="s">
        <v>315</v>
      </c>
      <c r="D16" s="814" t="s">
        <v>633</v>
      </c>
      <c r="E16" s="814"/>
      <c r="F16" s="814"/>
      <c r="G16" s="814"/>
      <c r="H16" s="814"/>
      <c r="I16" s="814"/>
      <c r="J16" s="814"/>
      <c r="K16" s="814"/>
      <c r="L16" s="814"/>
      <c r="M16" s="814"/>
      <c r="N16" s="814"/>
      <c r="O16" s="814"/>
      <c r="P16" s="814"/>
      <c r="Q16" s="814"/>
      <c r="R16" s="814"/>
      <c r="S16" s="814"/>
      <c r="U16" s="815" t="s">
        <v>90</v>
      </c>
      <c r="V16" s="816">
        <f>H79</f>
        <v>0.0</v>
      </c>
      <c r="W16" s="816"/>
      <c r="X16" s="816"/>
      <c r="Y16" s="816"/>
      <c r="Z16" s="816"/>
      <c r="AA16" s="816"/>
      <c r="AB16" s="816"/>
      <c r="AC16" s="816"/>
      <c r="AD16" s="816"/>
      <c r="AE16" s="816"/>
      <c r="AF16" s="803"/>
    </row>
    <row r="17" spans="8:8" ht="15.0" customHeight="1">
      <c r="A17" s="803"/>
      <c r="B17" s="803"/>
      <c r="C17" s="803"/>
      <c r="D17" s="814"/>
      <c r="E17" s="814"/>
      <c r="F17" s="814"/>
      <c r="G17" s="814"/>
      <c r="H17" s="814"/>
      <c r="I17" s="814"/>
      <c r="J17" s="814"/>
      <c r="K17" s="814"/>
      <c r="L17" s="814"/>
      <c r="M17" s="814"/>
      <c r="N17" s="814"/>
      <c r="O17" s="814"/>
      <c r="P17" s="814"/>
      <c r="Q17" s="814"/>
      <c r="R17" s="814"/>
      <c r="S17" s="814"/>
      <c r="T17" s="803"/>
      <c r="U17" s="803"/>
      <c r="V17" s="803"/>
      <c r="W17" s="803"/>
      <c r="X17" s="803"/>
      <c r="Y17" s="803"/>
      <c r="Z17" s="803"/>
      <c r="AA17" s="803"/>
      <c r="AB17" s="803"/>
      <c r="AC17" s="803"/>
      <c r="AD17" s="803"/>
      <c r="AE17" s="803"/>
      <c r="AF17" s="803"/>
    </row>
    <row r="18" spans="8:8">
      <c r="A18" s="803"/>
      <c r="B18" s="803"/>
      <c r="C18" s="803" t="s">
        <v>316</v>
      </c>
      <c r="D18" s="817" t="s">
        <v>634</v>
      </c>
      <c r="E18" s="817"/>
      <c r="F18" s="817"/>
      <c r="G18" s="817"/>
      <c r="H18" s="817"/>
      <c r="I18" s="817"/>
      <c r="J18" s="817"/>
      <c r="K18" s="817"/>
      <c r="L18" s="817"/>
      <c r="M18" s="817"/>
      <c r="N18" s="817"/>
      <c r="O18" s="817"/>
      <c r="P18" s="817"/>
      <c r="Q18" s="817"/>
      <c r="R18" s="817"/>
      <c r="S18" s="817"/>
      <c r="T18" s="817"/>
      <c r="U18" s="803"/>
      <c r="V18" s="811" t="s">
        <v>659</v>
      </c>
      <c r="W18" s="811"/>
      <c r="X18" s="811"/>
      <c r="Y18" s="811"/>
      <c r="Z18" s="811"/>
      <c r="AA18" s="811"/>
      <c r="AB18" s="811"/>
      <c r="AC18" s="811"/>
      <c r="AD18" s="811"/>
      <c r="AE18" s="811"/>
      <c r="AF18" s="803"/>
    </row>
    <row r="19" spans="8:8">
      <c r="A19" s="803"/>
      <c r="B19" s="803"/>
      <c r="C19" s="803"/>
      <c r="D19" s="817"/>
      <c r="E19" s="817"/>
      <c r="F19" s="817"/>
      <c r="G19" s="817"/>
      <c r="H19" s="817"/>
      <c r="I19" s="817"/>
      <c r="J19" s="817"/>
      <c r="K19" s="817"/>
      <c r="L19" s="817"/>
      <c r="M19" s="817"/>
      <c r="N19" s="817"/>
      <c r="O19" s="817"/>
      <c r="P19" s="817"/>
      <c r="Q19" s="817"/>
      <c r="R19" s="817"/>
      <c r="S19" s="817"/>
      <c r="T19" s="817"/>
      <c r="U19" s="803"/>
      <c r="V19" s="803"/>
      <c r="W19" s="803"/>
      <c r="X19" s="803"/>
      <c r="Y19" s="803"/>
      <c r="Z19" s="803"/>
      <c r="AA19" s="803"/>
      <c r="AB19" s="803"/>
      <c r="AC19" s="803"/>
      <c r="AD19" s="803"/>
      <c r="AE19" s="803"/>
      <c r="AF19" s="803"/>
    </row>
    <row r="20" spans="8:8">
      <c r="A20" s="803"/>
      <c r="B20" s="803"/>
      <c r="C20" s="803"/>
      <c r="D20" s="817"/>
      <c r="E20" s="817"/>
      <c r="F20" s="817"/>
      <c r="G20" s="817"/>
      <c r="H20" s="817"/>
      <c r="I20" s="817"/>
      <c r="J20" s="817"/>
      <c r="K20" s="817"/>
      <c r="L20" s="817"/>
      <c r="M20" s="817"/>
      <c r="N20" s="817"/>
      <c r="O20" s="817"/>
      <c r="P20" s="817"/>
      <c r="Q20" s="817"/>
      <c r="R20" s="817"/>
      <c r="S20" s="817"/>
      <c r="T20" s="817"/>
      <c r="U20" s="803"/>
      <c r="V20" s="810"/>
      <c r="W20" s="810"/>
      <c r="X20" s="810"/>
      <c r="Y20" s="810"/>
      <c r="Z20" s="810"/>
      <c r="AA20" s="810"/>
      <c r="AB20" s="810"/>
      <c r="AC20" s="810"/>
      <c r="AD20" s="810"/>
      <c r="AE20" s="810"/>
      <c r="AF20" s="803"/>
    </row>
    <row r="21" spans="8:8">
      <c r="A21" s="803"/>
      <c r="B21" s="803"/>
      <c r="C21" s="808" t="s">
        <v>635</v>
      </c>
      <c r="D21" s="817" t="s">
        <v>636</v>
      </c>
      <c r="E21" s="817"/>
      <c r="F21" s="817"/>
      <c r="G21" s="817"/>
      <c r="H21" s="817"/>
      <c r="I21" s="817"/>
      <c r="J21" s="817"/>
      <c r="K21" s="817"/>
      <c r="L21" s="817"/>
      <c r="M21" s="817"/>
      <c r="N21" s="817"/>
      <c r="O21" s="817"/>
      <c r="P21" s="817"/>
      <c r="Q21" s="817"/>
      <c r="R21" s="817"/>
      <c r="S21" s="817"/>
      <c r="T21" s="817"/>
      <c r="U21" s="808"/>
      <c r="V21" s="811" t="s">
        <v>659</v>
      </c>
      <c r="W21" s="811"/>
      <c r="X21" s="811"/>
      <c r="Y21" s="811"/>
      <c r="Z21" s="811"/>
      <c r="AA21" s="811"/>
      <c r="AB21" s="811"/>
      <c r="AC21" s="811"/>
      <c r="AD21" s="811"/>
      <c r="AE21" s="811"/>
      <c r="AF21" s="803"/>
    </row>
    <row r="22" spans="8:8">
      <c r="A22" s="803"/>
      <c r="B22" s="803"/>
      <c r="C22" s="803"/>
      <c r="D22" s="817"/>
      <c r="E22" s="817"/>
      <c r="F22" s="817"/>
      <c r="G22" s="817"/>
      <c r="H22" s="817"/>
      <c r="I22" s="817"/>
      <c r="J22" s="817"/>
      <c r="K22" s="817"/>
      <c r="L22" s="817"/>
      <c r="M22" s="817"/>
      <c r="N22" s="817"/>
      <c r="O22" s="817"/>
      <c r="P22" s="817"/>
      <c r="Q22" s="817"/>
      <c r="R22" s="817"/>
      <c r="S22" s="817"/>
      <c r="T22" s="817"/>
      <c r="U22" s="803"/>
      <c r="V22" s="803"/>
      <c r="W22" s="803"/>
      <c r="X22" s="803"/>
      <c r="Y22" s="815"/>
      <c r="Z22" s="803"/>
      <c r="AA22" s="803"/>
      <c r="AB22" s="803"/>
      <c r="AC22" s="803"/>
      <c r="AD22" s="803"/>
      <c r="AE22" s="803"/>
      <c r="AF22" s="803"/>
    </row>
    <row r="23" spans="8:8">
      <c r="A23" s="803"/>
      <c r="B23" s="803"/>
      <c r="C23" s="803"/>
      <c r="D23" s="817"/>
      <c r="E23" s="817"/>
      <c r="F23" s="817"/>
      <c r="G23" s="817"/>
      <c r="H23" s="817"/>
      <c r="I23" s="817"/>
      <c r="J23" s="817"/>
      <c r="K23" s="817"/>
      <c r="L23" s="817"/>
      <c r="M23" s="817"/>
      <c r="N23" s="817"/>
      <c r="O23" s="817"/>
      <c r="P23" s="817"/>
      <c r="Q23" s="817"/>
      <c r="R23" s="817"/>
      <c r="S23" s="817"/>
      <c r="T23" s="817"/>
      <c r="U23" s="803"/>
      <c r="V23" s="803"/>
      <c r="W23" s="803"/>
      <c r="X23" s="803"/>
      <c r="Y23" s="803"/>
      <c r="Z23" s="803"/>
      <c r="AA23" s="803"/>
      <c r="AB23" s="803"/>
      <c r="AC23" s="803"/>
      <c r="AD23" s="803"/>
      <c r="AE23" s="803"/>
      <c r="AF23" s="803"/>
    </row>
    <row r="24" spans="8:8">
      <c r="A24" s="803"/>
      <c r="B24" s="803"/>
      <c r="C24" s="803"/>
      <c r="D24" s="817"/>
      <c r="E24" s="817"/>
      <c r="F24" s="817"/>
      <c r="G24" s="817"/>
      <c r="H24" s="817"/>
      <c r="I24" s="817"/>
      <c r="J24" s="817"/>
      <c r="K24" s="817"/>
      <c r="L24" s="817"/>
      <c r="M24" s="817"/>
      <c r="N24" s="817"/>
      <c r="O24" s="817"/>
      <c r="P24" s="817"/>
      <c r="Q24" s="817"/>
      <c r="R24" s="817"/>
      <c r="S24" s="817"/>
      <c r="T24" s="817"/>
      <c r="U24" s="803"/>
      <c r="V24" s="808"/>
      <c r="W24" s="803"/>
      <c r="X24" s="803"/>
      <c r="Y24" s="803"/>
      <c r="Z24" s="803"/>
      <c r="AA24" s="803"/>
      <c r="AB24" s="803"/>
      <c r="AC24" s="803"/>
      <c r="AD24" s="803"/>
      <c r="AE24" s="803"/>
      <c r="AF24" s="803"/>
    </row>
    <row r="25" spans="8:8">
      <c r="A25" s="803"/>
      <c r="B25" s="803"/>
      <c r="C25" s="803"/>
      <c r="D25" s="817"/>
      <c r="E25" s="817"/>
      <c r="F25" s="817"/>
      <c r="G25" s="817"/>
      <c r="H25" s="817"/>
      <c r="I25" s="817"/>
      <c r="J25" s="817"/>
      <c r="K25" s="817"/>
      <c r="L25" s="817"/>
      <c r="M25" s="817"/>
      <c r="N25" s="817"/>
      <c r="O25" s="817"/>
      <c r="P25" s="817"/>
      <c r="Q25" s="817"/>
      <c r="R25" s="817"/>
      <c r="S25" s="817"/>
      <c r="T25" s="817"/>
      <c r="U25" s="803"/>
      <c r="V25" s="808"/>
      <c r="W25" s="803"/>
      <c r="X25" s="803"/>
      <c r="Y25" s="803"/>
      <c r="Z25" s="803"/>
      <c r="AA25" s="803"/>
      <c r="AB25" s="803"/>
      <c r="AC25" s="803"/>
      <c r="AD25" s="803"/>
      <c r="AE25" s="803"/>
      <c r="AF25" s="803"/>
    </row>
    <row r="26" spans="8:8">
      <c r="A26" s="803"/>
      <c r="B26" s="803"/>
      <c r="C26" s="803"/>
      <c r="D26" s="817"/>
      <c r="E26" s="817"/>
      <c r="F26" s="817"/>
      <c r="G26" s="817"/>
      <c r="H26" s="817"/>
      <c r="I26" s="817"/>
      <c r="J26" s="817"/>
      <c r="K26" s="817"/>
      <c r="L26" s="817"/>
      <c r="M26" s="817"/>
      <c r="N26" s="817"/>
      <c r="O26" s="817"/>
      <c r="P26" s="817"/>
      <c r="Q26" s="817"/>
      <c r="R26" s="817"/>
      <c r="S26" s="817"/>
      <c r="T26" s="817"/>
      <c r="U26" s="803"/>
      <c r="V26" s="803"/>
      <c r="W26" s="803"/>
      <c r="X26" s="803"/>
      <c r="Y26" s="803"/>
      <c r="Z26" s="803"/>
      <c r="AA26" s="803"/>
      <c r="AB26" s="803"/>
      <c r="AC26" s="803"/>
      <c r="AD26" s="803"/>
      <c r="AE26" s="803"/>
      <c r="AF26" s="803"/>
    </row>
    <row r="27" spans="8:8">
      <c r="A27" s="803"/>
      <c r="B27" s="807">
        <v>2.0</v>
      </c>
      <c r="C27" s="808" t="s">
        <v>637</v>
      </c>
      <c r="D27" s="803"/>
      <c r="E27" s="803"/>
      <c r="F27" s="803"/>
      <c r="G27" s="803"/>
      <c r="H27" s="803"/>
      <c r="I27" s="803"/>
      <c r="J27" s="803"/>
      <c r="K27" s="803"/>
      <c r="L27" s="803"/>
      <c r="M27" s="803"/>
      <c r="N27" s="803"/>
      <c r="O27" s="803"/>
      <c r="P27" s="803"/>
      <c r="Q27" s="803"/>
      <c r="R27" s="803"/>
      <c r="S27" s="803"/>
      <c r="T27" s="803"/>
      <c r="U27" s="803"/>
      <c r="V27" s="811" t="str">
        <f>B44</f>
        <v>ANNEXURE I</v>
      </c>
      <c r="W27" s="811"/>
      <c r="X27" s="811"/>
      <c r="Y27" s="811"/>
      <c r="Z27" s="811"/>
      <c r="AA27" s="811"/>
      <c r="AB27" s="811"/>
      <c r="AC27" s="811"/>
      <c r="AD27" s="811"/>
      <c r="AE27" s="811"/>
      <c r="AF27" s="803"/>
    </row>
    <row r="28" spans="8:8">
      <c r="A28" s="803"/>
      <c r="B28" s="803"/>
      <c r="C28" s="808" t="s">
        <v>638</v>
      </c>
      <c r="D28" s="803"/>
      <c r="E28" s="803"/>
      <c r="F28" s="803"/>
      <c r="G28" s="803"/>
      <c r="H28" s="803"/>
      <c r="I28" s="803"/>
      <c r="J28" s="803"/>
      <c r="K28" s="803"/>
      <c r="L28" s="803"/>
      <c r="M28" s="803"/>
      <c r="N28" s="803"/>
      <c r="O28" s="803"/>
      <c r="P28" s="803"/>
      <c r="Q28" s="803"/>
      <c r="R28" s="803"/>
      <c r="S28" s="803"/>
      <c r="T28" s="803"/>
      <c r="U28" s="803"/>
      <c r="V28" s="803"/>
      <c r="W28" s="803"/>
      <c r="X28" s="803"/>
      <c r="Y28" s="803"/>
      <c r="Z28" s="803"/>
      <c r="AA28" s="803"/>
      <c r="AB28" s="803"/>
      <c r="AC28" s="803"/>
      <c r="AD28" s="803"/>
      <c r="AE28" s="803"/>
      <c r="AF28" s="803"/>
    </row>
    <row r="29" spans="8:8">
      <c r="A29" s="803"/>
      <c r="B29" s="803"/>
      <c r="C29" s="803"/>
      <c r="D29" s="803"/>
      <c r="E29" s="803"/>
      <c r="F29" s="803"/>
      <c r="G29" s="803"/>
      <c r="H29" s="803"/>
      <c r="I29" s="803"/>
      <c r="J29" s="803"/>
      <c r="K29" s="803"/>
      <c r="L29" s="803"/>
      <c r="M29" s="803"/>
      <c r="N29" s="803"/>
      <c r="O29" s="803"/>
      <c r="P29" s="803"/>
      <c r="Q29" s="803"/>
      <c r="R29" s="803"/>
      <c r="S29" s="803"/>
      <c r="T29" s="803"/>
      <c r="U29" s="803"/>
      <c r="V29" s="803"/>
      <c r="W29" s="803"/>
      <c r="X29" s="803"/>
      <c r="Y29" s="803"/>
      <c r="Z29" s="803"/>
      <c r="AA29" s="803"/>
      <c r="AB29" s="803"/>
      <c r="AC29" s="803"/>
      <c r="AD29" s="803"/>
      <c r="AE29" s="803"/>
      <c r="AF29" s="803"/>
    </row>
    <row r="30" spans="8:8">
      <c r="A30" s="803"/>
      <c r="B30" s="803"/>
      <c r="C30" s="803"/>
      <c r="D30" s="803"/>
      <c r="E30" s="803"/>
      <c r="F30" s="803"/>
      <c r="G30" s="803"/>
      <c r="H30" s="803"/>
      <c r="I30" s="803"/>
      <c r="J30" s="803"/>
      <c r="K30" s="803"/>
      <c r="L30" s="803"/>
      <c r="M30" s="803"/>
      <c r="N30" s="803"/>
      <c r="O30" s="803"/>
      <c r="P30" s="803"/>
      <c r="Q30" s="803"/>
      <c r="R30" s="803"/>
      <c r="S30" s="803"/>
      <c r="T30" s="803"/>
      <c r="U30" s="803"/>
      <c r="V30" s="803"/>
      <c r="W30" s="803"/>
      <c r="X30" s="803"/>
      <c r="Y30" s="803"/>
      <c r="Z30" s="803"/>
      <c r="AA30" s="803"/>
      <c r="AB30" s="803"/>
      <c r="AC30" s="803"/>
      <c r="AD30" s="803"/>
      <c r="AE30" s="803"/>
      <c r="AF30" s="803"/>
    </row>
    <row r="31" spans="8:8">
      <c r="A31" s="803"/>
      <c r="B31" s="803"/>
      <c r="C31" s="803"/>
      <c r="D31" s="803"/>
      <c r="E31" s="803"/>
      <c r="F31" s="803"/>
      <c r="G31" s="803"/>
      <c r="H31" s="803"/>
      <c r="I31" s="803"/>
      <c r="J31" s="803"/>
      <c r="K31" s="803"/>
      <c r="L31" s="803"/>
      <c r="M31" s="803"/>
      <c r="N31" s="803"/>
      <c r="O31" s="803"/>
      <c r="P31" s="803"/>
      <c r="Q31" s="803"/>
      <c r="R31" s="803"/>
      <c r="S31" s="803"/>
      <c r="T31" s="803"/>
      <c r="U31" s="803"/>
      <c r="V31" s="803"/>
      <c r="W31" s="803"/>
      <c r="X31" s="803"/>
      <c r="Y31" s="812" t="s">
        <v>639</v>
      </c>
      <c r="Z31" s="803"/>
      <c r="AA31" s="803"/>
      <c r="AB31" s="803"/>
      <c r="AC31" s="803"/>
      <c r="AD31" s="803"/>
      <c r="AE31" s="803"/>
      <c r="AF31" s="803"/>
    </row>
    <row r="32" spans="8:8">
      <c r="A32" s="803"/>
      <c r="B32" s="803"/>
      <c r="C32" s="803"/>
      <c r="D32" s="803"/>
      <c r="E32" s="803"/>
      <c r="F32" s="803"/>
      <c r="G32" s="803"/>
      <c r="H32" s="803"/>
      <c r="I32" s="803"/>
      <c r="J32" s="803"/>
      <c r="K32" s="803"/>
      <c r="L32" s="803"/>
      <c r="M32" s="803"/>
      <c r="N32" s="803"/>
      <c r="O32" s="803"/>
      <c r="P32" s="803"/>
      <c r="Q32" s="803"/>
      <c r="R32" s="803"/>
      <c r="S32" s="803"/>
      <c r="T32" s="803"/>
      <c r="U32" s="803"/>
      <c r="V32" s="803"/>
      <c r="W32" s="803"/>
      <c r="X32" s="803"/>
      <c r="Y32" s="803"/>
      <c r="Z32" s="803"/>
      <c r="AA32" s="803"/>
      <c r="AB32" s="803"/>
      <c r="AC32" s="803"/>
      <c r="AD32" s="803"/>
      <c r="AE32" s="803"/>
      <c r="AF32" s="803"/>
    </row>
    <row r="33" spans="8:8">
      <c r="A33" s="803"/>
      <c r="B33" s="818" t="s">
        <v>336</v>
      </c>
      <c r="C33" s="818"/>
      <c r="D33" s="818"/>
      <c r="E33" s="818"/>
      <c r="F33" s="818"/>
      <c r="G33" s="818"/>
      <c r="H33" s="818"/>
      <c r="I33" s="818"/>
      <c r="J33" s="818"/>
      <c r="K33" s="818"/>
      <c r="L33" s="818"/>
      <c r="M33" s="818"/>
      <c r="N33" s="818"/>
      <c r="O33" s="818"/>
      <c r="P33" s="818"/>
      <c r="Q33" s="818"/>
      <c r="R33" s="818"/>
      <c r="S33" s="818"/>
      <c r="T33" s="818"/>
      <c r="U33" s="818"/>
      <c r="V33" s="818"/>
      <c r="W33" s="818"/>
      <c r="X33" s="818"/>
      <c r="Y33" s="818"/>
      <c r="Z33" s="818"/>
      <c r="AA33" s="818"/>
      <c r="AB33" s="818"/>
      <c r="AC33" s="818"/>
      <c r="AD33" s="818"/>
      <c r="AE33" s="818"/>
      <c r="AF33" s="803"/>
    </row>
    <row r="34" spans="8:8">
      <c r="A34" s="803"/>
      <c r="B34" s="803"/>
      <c r="C34" s="803"/>
      <c r="D34" s="803"/>
      <c r="E34" s="803"/>
      <c r="F34" s="803"/>
      <c r="G34" s="803"/>
      <c r="H34" s="803"/>
      <c r="I34" s="803"/>
      <c r="J34" s="803"/>
      <c r="K34" s="803"/>
      <c r="L34" s="803"/>
      <c r="M34" s="803"/>
      <c r="N34" s="803"/>
      <c r="O34" s="803"/>
      <c r="P34" s="803"/>
      <c r="Q34" s="803"/>
      <c r="R34" s="803"/>
      <c r="S34" s="803"/>
      <c r="T34" s="803"/>
      <c r="U34" s="803"/>
      <c r="V34" s="803"/>
      <c r="W34" s="803"/>
      <c r="X34" s="803"/>
      <c r="Y34" s="803"/>
      <c r="Z34" s="803"/>
      <c r="AA34" s="803"/>
      <c r="AB34" s="803"/>
      <c r="AC34" s="803"/>
      <c r="AD34" s="803"/>
      <c r="AE34" s="803"/>
      <c r="AF34" s="803"/>
    </row>
    <row r="35" spans="8:8">
      <c r="A35" s="803"/>
      <c r="B35" s="808" t="s">
        <v>640</v>
      </c>
      <c r="C35" s="819" t="str">
        <f>Data!D4</f>
        <v>P. Pothan Prasad</v>
      </c>
      <c r="D35" s="819"/>
      <c r="E35" s="819"/>
      <c r="F35" s="819"/>
      <c r="G35" s="819"/>
      <c r="H35" s="819"/>
      <c r="I35" s="819"/>
      <c r="J35" s="819"/>
      <c r="K35" s="819"/>
      <c r="L35" s="819"/>
      <c r="M35" s="819"/>
      <c r="N35" s="819"/>
      <c r="O35" s="819"/>
      <c r="P35" s="803"/>
      <c r="Q35" s="803"/>
      <c r="R35" s="803"/>
      <c r="S35" s="803"/>
      <c r="T35" s="803"/>
      <c r="U35" s="803"/>
      <c r="V35" s="803"/>
      <c r="W35" s="803"/>
      <c r="X35" s="803"/>
      <c r="Y35" s="803"/>
      <c r="Z35" s="803"/>
      <c r="AA35" s="803"/>
      <c r="AB35" s="803"/>
      <c r="AC35" s="803"/>
      <c r="AD35" s="803"/>
      <c r="AE35" s="820" t="s">
        <v>641</v>
      </c>
      <c r="AF35" s="803"/>
    </row>
    <row r="36" spans="8:8">
      <c r="A36" s="803"/>
      <c r="B36" s="808" t="s">
        <v>642</v>
      </c>
      <c r="C36" s="803"/>
      <c r="D36" s="803"/>
      <c r="E36" s="803"/>
      <c r="F36" s="803"/>
      <c r="G36" s="803"/>
      <c r="H36" s="803"/>
      <c r="I36" s="803"/>
      <c r="J36" s="803"/>
      <c r="K36" s="803"/>
      <c r="L36" s="803"/>
      <c r="M36" s="803"/>
      <c r="N36" s="803"/>
      <c r="O36" s="803"/>
      <c r="P36" s="803"/>
      <c r="Q36" s="803"/>
      <c r="R36" s="803"/>
      <c r="S36" s="803"/>
      <c r="T36" s="803"/>
      <c r="U36" s="803"/>
      <c r="V36" s="803"/>
      <c r="W36" s="803"/>
      <c r="X36" s="803"/>
      <c r="Y36" s="803"/>
      <c r="Z36" s="803"/>
      <c r="AA36" s="803"/>
      <c r="AB36" s="803"/>
      <c r="AC36" s="803"/>
      <c r="AD36" s="803"/>
      <c r="AE36" s="803"/>
      <c r="AF36" s="803"/>
    </row>
    <row r="37" spans="8:8">
      <c r="A37" s="803"/>
      <c r="B37" s="803"/>
      <c r="C37" s="803"/>
      <c r="D37" s="803"/>
      <c r="E37" s="803"/>
      <c r="F37" s="803"/>
      <c r="G37" s="803"/>
      <c r="H37" s="803"/>
      <c r="I37" s="803"/>
      <c r="J37" s="803"/>
      <c r="K37" s="803"/>
      <c r="L37" s="803"/>
      <c r="M37" s="803"/>
      <c r="N37" s="803"/>
      <c r="O37" s="803"/>
      <c r="P37" s="803"/>
      <c r="Q37" s="803"/>
      <c r="R37" s="803"/>
      <c r="S37" s="803"/>
      <c r="T37" s="803"/>
      <c r="U37" s="803"/>
      <c r="V37" s="803"/>
      <c r="W37" s="803"/>
      <c r="X37" s="803"/>
      <c r="Y37" s="803"/>
      <c r="Z37" s="803"/>
      <c r="AA37" s="803"/>
      <c r="AB37" s="803"/>
      <c r="AC37" s="803"/>
      <c r="AD37" s="803"/>
      <c r="AE37" s="803"/>
      <c r="AF37" s="803"/>
    </row>
    <row r="38" spans="8:8">
      <c r="A38" s="803"/>
      <c r="C38" s="821" t="s">
        <v>643</v>
      </c>
      <c r="D38" s="803"/>
      <c r="E38" s="803"/>
      <c r="F38" s="803"/>
      <c r="G38" s="803"/>
      <c r="H38" s="822">
        <f>WEEKDAY(N38)</f>
        <v>7.0</v>
      </c>
      <c r="I38" s="822"/>
      <c r="J38" s="822"/>
      <c r="K38" s="822"/>
      <c r="L38" s="821" t="s">
        <v>644</v>
      </c>
      <c r="M38" s="803"/>
      <c r="N38" s="823">
        <f>TODAY()</f>
        <v>44611.0</v>
      </c>
      <c r="O38" s="824"/>
      <c r="P38" s="824"/>
      <c r="Q38" s="824"/>
      <c r="R38" s="824"/>
      <c r="S38" s="824"/>
      <c r="T38" s="824"/>
      <c r="U38" s="824"/>
      <c r="V38" s="803"/>
      <c r="W38" s="803"/>
      <c r="X38" s="803"/>
      <c r="Y38" s="803"/>
      <c r="Z38" s="803"/>
      <c r="AA38" s="803"/>
      <c r="AB38" s="803"/>
      <c r="AC38" s="803"/>
      <c r="AD38" s="803"/>
      <c r="AE38" s="803"/>
      <c r="AF38" s="803"/>
    </row>
    <row r="39" spans="8:8">
      <c r="A39" s="803"/>
      <c r="B39" s="803"/>
      <c r="C39" s="803"/>
      <c r="D39" s="803"/>
      <c r="E39" s="803"/>
      <c r="F39" s="803"/>
      <c r="G39" s="803"/>
      <c r="H39" s="803"/>
      <c r="I39" s="803"/>
      <c r="J39" s="803"/>
      <c r="K39" s="803"/>
      <c r="L39" s="803"/>
      <c r="M39" s="803"/>
      <c r="N39" s="803"/>
      <c r="O39" s="803"/>
      <c r="P39" s="803"/>
      <c r="Q39" s="803"/>
      <c r="R39" s="803"/>
      <c r="S39" s="803"/>
      <c r="T39" s="803"/>
      <c r="U39" s="803"/>
      <c r="V39" s="803"/>
      <c r="W39" s="803"/>
      <c r="X39" s="803"/>
      <c r="Y39" s="803"/>
      <c r="Z39" s="803"/>
      <c r="AA39" s="803"/>
      <c r="AB39" s="803"/>
      <c r="AC39" s="803"/>
      <c r="AD39" s="803"/>
      <c r="AE39" s="803"/>
      <c r="AF39" s="803"/>
    </row>
    <row r="40" spans="8:8">
      <c r="A40" s="803"/>
      <c r="B40" s="803"/>
      <c r="C40" s="803"/>
      <c r="D40" s="803"/>
      <c r="E40" s="803"/>
      <c r="F40" s="803"/>
      <c r="G40" s="803"/>
      <c r="H40" s="803"/>
      <c r="I40" s="803"/>
      <c r="J40" s="803"/>
      <c r="K40" s="803"/>
      <c r="L40" s="803"/>
      <c r="M40" s="803"/>
      <c r="N40" s="803"/>
      <c r="O40" s="803"/>
      <c r="P40" s="803"/>
      <c r="Q40" s="803"/>
      <c r="R40" s="803"/>
      <c r="S40" s="803"/>
      <c r="T40" s="803"/>
      <c r="U40" s="803"/>
      <c r="V40" s="803"/>
      <c r="W40" s="803"/>
      <c r="X40" s="803"/>
      <c r="Y40" s="803"/>
      <c r="Z40" s="803"/>
      <c r="AA40" s="803"/>
      <c r="AB40" s="803"/>
      <c r="AC40" s="803"/>
      <c r="AD40" s="803"/>
      <c r="AE40" s="803"/>
      <c r="AF40" s="803"/>
    </row>
    <row r="41" spans="8:8">
      <c r="A41" s="803"/>
      <c r="B41" s="825" t="s">
        <v>645</v>
      </c>
      <c r="C41" s="803"/>
      <c r="D41" s="826"/>
      <c r="E41" s="826"/>
      <c r="F41" s="826"/>
      <c r="G41" s="826"/>
      <c r="H41" s="826"/>
      <c r="I41" s="826"/>
      <c r="J41" s="826"/>
      <c r="K41" s="826"/>
      <c r="L41" s="803"/>
      <c r="M41" s="803"/>
      <c r="N41" s="803"/>
      <c r="O41" s="803"/>
      <c r="P41" s="803"/>
      <c r="Q41" s="803"/>
      <c r="R41" s="803"/>
      <c r="S41" s="803"/>
      <c r="T41" s="803"/>
      <c r="U41" s="803"/>
      <c r="V41" s="803"/>
      <c r="W41" s="803"/>
      <c r="X41" s="803"/>
      <c r="Y41" s="803"/>
      <c r="Z41" s="803"/>
      <c r="AA41" s="803"/>
      <c r="AB41" s="803"/>
      <c r="AC41" s="803"/>
      <c r="AD41" s="803"/>
      <c r="AE41" s="803"/>
      <c r="AF41" s="803"/>
    </row>
    <row r="42" spans="8:8">
      <c r="A42" s="803"/>
      <c r="B42" s="825" t="s">
        <v>646</v>
      </c>
      <c r="C42" s="803"/>
      <c r="D42" s="827">
        <f>TODAY()</f>
        <v>44611.0</v>
      </c>
      <c r="E42" s="826"/>
      <c r="F42" s="826"/>
      <c r="G42" s="826"/>
      <c r="H42" s="826"/>
      <c r="I42" s="826"/>
      <c r="J42" s="803"/>
      <c r="K42" s="803"/>
      <c r="L42" s="803"/>
      <c r="M42" s="803"/>
      <c r="N42" s="803"/>
      <c r="O42" s="803"/>
      <c r="P42" s="803"/>
      <c r="Q42" s="803"/>
      <c r="R42" s="803"/>
      <c r="S42" s="803"/>
      <c r="T42" s="803"/>
      <c r="U42" s="803"/>
      <c r="V42" s="803"/>
      <c r="W42" s="803"/>
      <c r="X42" s="803"/>
      <c r="Y42" s="812" t="s">
        <v>647</v>
      </c>
      <c r="Z42" s="803"/>
      <c r="AA42" s="803"/>
      <c r="AB42" s="803"/>
      <c r="AC42" s="803"/>
      <c r="AD42" s="803"/>
      <c r="AE42" s="803"/>
      <c r="AF42" s="803"/>
    </row>
    <row r="43" spans="8:8">
      <c r="A43" s="803"/>
      <c r="B43" s="803"/>
      <c r="C43" s="803"/>
      <c r="D43" s="803"/>
      <c r="E43" s="803"/>
      <c r="F43" s="803"/>
      <c r="G43" s="803"/>
      <c r="H43" s="803"/>
      <c r="I43" s="803"/>
      <c r="J43" s="803"/>
      <c r="K43" s="803"/>
      <c r="L43" s="803"/>
      <c r="M43" s="803"/>
      <c r="N43" s="803"/>
      <c r="O43" s="803"/>
      <c r="P43" s="803"/>
      <c r="Q43" s="803"/>
      <c r="R43" s="803"/>
      <c r="S43" s="803"/>
      <c r="T43" s="803"/>
      <c r="U43" s="803"/>
      <c r="V43" s="803"/>
      <c r="W43" s="803"/>
      <c r="X43" s="803"/>
      <c r="Y43" s="803"/>
      <c r="Z43" s="803"/>
      <c r="AA43" s="803"/>
      <c r="AB43" s="803"/>
      <c r="AC43" s="803"/>
      <c r="AD43" s="803"/>
      <c r="AE43" s="803"/>
      <c r="AF43" s="803"/>
    </row>
    <row r="44" spans="8:8">
      <c r="A44" s="803"/>
      <c r="B44" s="828" t="s">
        <v>574</v>
      </c>
      <c r="C44" s="828"/>
      <c r="D44" s="828"/>
      <c r="E44" s="828"/>
      <c r="F44" s="828"/>
      <c r="G44" s="828"/>
      <c r="H44" s="828"/>
      <c r="I44" s="828"/>
      <c r="J44" s="828"/>
      <c r="K44" s="828"/>
      <c r="L44" s="828"/>
      <c r="M44" s="828"/>
      <c r="N44" s="828"/>
      <c r="O44" s="828"/>
      <c r="P44" s="828"/>
      <c r="Q44" s="828"/>
      <c r="R44" s="828"/>
      <c r="S44" s="828"/>
      <c r="T44" s="828"/>
      <c r="U44" s="828"/>
      <c r="V44" s="828"/>
      <c r="W44" s="828"/>
      <c r="X44" s="828"/>
      <c r="Y44" s="828"/>
      <c r="Z44" s="828"/>
      <c r="AA44" s="828"/>
      <c r="AB44" s="828"/>
      <c r="AC44" s="828"/>
      <c r="AD44" s="828"/>
      <c r="AE44" s="828"/>
      <c r="AF44" s="803"/>
    </row>
    <row r="45" spans="8:8">
      <c r="A45" s="803"/>
      <c r="B45" s="801" t="s">
        <v>575</v>
      </c>
      <c r="C45" s="801"/>
      <c r="D45" s="801"/>
      <c r="E45" s="801"/>
      <c r="F45" s="801"/>
      <c r="G45" s="801"/>
      <c r="H45" s="801"/>
      <c r="I45" s="801"/>
      <c r="J45" s="801"/>
      <c r="K45" s="801"/>
      <c r="L45" s="801"/>
      <c r="M45" s="801"/>
      <c r="N45" s="801"/>
      <c r="O45" s="801"/>
      <c r="P45" s="801"/>
      <c r="Q45" s="801"/>
      <c r="R45" s="801"/>
      <c r="S45" s="801"/>
      <c r="T45" s="801"/>
      <c r="U45" s="801"/>
      <c r="V45" s="801"/>
      <c r="W45" s="801"/>
      <c r="X45" s="801"/>
      <c r="Y45" s="801"/>
      <c r="Z45" s="801"/>
      <c r="AA45" s="801"/>
      <c r="AB45" s="801"/>
      <c r="AC45" s="801"/>
      <c r="AD45" s="801"/>
      <c r="AE45" s="801"/>
      <c r="AF45" s="803"/>
    </row>
    <row r="46" spans="8:8">
      <c r="A46" s="803"/>
      <c r="B46" s="829" t="s">
        <v>576</v>
      </c>
      <c r="C46" s="829"/>
      <c r="D46" s="829"/>
      <c r="E46" s="829"/>
      <c r="F46" s="829"/>
      <c r="G46" s="829"/>
      <c r="H46" s="829"/>
      <c r="I46" s="829"/>
      <c r="J46" s="829"/>
      <c r="K46" s="829"/>
      <c r="L46" s="829"/>
      <c r="M46" s="829"/>
      <c r="N46" s="829"/>
      <c r="O46" s="829"/>
      <c r="P46" s="829"/>
      <c r="Q46" s="829"/>
      <c r="R46" s="829"/>
      <c r="S46" s="829"/>
      <c r="T46" s="829"/>
      <c r="U46" s="829"/>
      <c r="V46" s="829"/>
      <c r="W46" s="829"/>
      <c r="X46" s="829"/>
      <c r="Y46" s="829"/>
      <c r="Z46" s="829"/>
      <c r="AA46" s="829"/>
      <c r="AB46" s="829"/>
      <c r="AC46" s="829"/>
      <c r="AD46" s="829"/>
      <c r="AE46" s="829"/>
      <c r="AF46" s="803"/>
      <c r="AO46" s="830">
        <v>0.05</v>
      </c>
    </row>
    <row r="47" spans="8:8">
      <c r="A47" s="803"/>
      <c r="B47" s="803"/>
      <c r="C47" s="803"/>
      <c r="D47" s="803"/>
      <c r="E47" s="803"/>
      <c r="F47" s="803"/>
      <c r="G47" s="803"/>
      <c r="H47" s="803"/>
      <c r="I47" s="803"/>
      <c r="J47" s="803"/>
      <c r="K47" s="803"/>
      <c r="L47" s="803"/>
      <c r="M47" s="803"/>
      <c r="N47" s="803"/>
      <c r="O47" s="803"/>
      <c r="P47" s="803"/>
      <c r="Q47" s="803"/>
      <c r="R47" s="803"/>
      <c r="S47" s="803"/>
      <c r="T47" s="803"/>
      <c r="U47" s="803"/>
      <c r="V47" s="803"/>
      <c r="W47" s="803"/>
      <c r="X47" s="803"/>
      <c r="Y47" s="803"/>
      <c r="Z47" s="803"/>
      <c r="AA47" s="803"/>
      <c r="AB47" s="803"/>
      <c r="AC47" s="803"/>
      <c r="AD47" s="803"/>
      <c r="AE47" s="803"/>
      <c r="AF47" s="803"/>
      <c r="AH47" s="831"/>
      <c r="AI47" s="832" t="s">
        <v>660</v>
      </c>
      <c r="AJ47" s="832"/>
      <c r="AK47" s="832" t="s">
        <v>661</v>
      </c>
      <c r="AL47" s="832"/>
      <c r="AM47" s="832" t="s">
        <v>662</v>
      </c>
      <c r="AN47" s="832"/>
      <c r="AO47" s="830">
        <v>0.1</v>
      </c>
      <c r="AP47" s="830">
        <v>0.2</v>
      </c>
      <c r="AQ47" s="830">
        <v>0.3</v>
      </c>
      <c r="AR47" s="278" t="s">
        <v>158</v>
      </c>
      <c r="AS47" s="278" t="s">
        <v>573</v>
      </c>
      <c r="AT47" s="278" t="s">
        <v>663</v>
      </c>
      <c r="AU47" s="830">
        <v>0.04</v>
      </c>
      <c r="AV47" s="278" t="s">
        <v>664</v>
      </c>
    </row>
    <row r="48" spans="8:8">
      <c r="A48" s="803"/>
      <c r="B48" s="807">
        <v>1.0</v>
      </c>
      <c r="C48" s="817" t="s">
        <v>577</v>
      </c>
      <c r="D48" s="817"/>
      <c r="E48" s="817"/>
      <c r="F48" s="817"/>
      <c r="G48" s="817"/>
      <c r="H48" s="817"/>
      <c r="I48" s="817"/>
      <c r="J48" s="817"/>
      <c r="K48" s="817"/>
      <c r="L48" s="817"/>
      <c r="M48" s="817"/>
      <c r="N48" s="817"/>
      <c r="O48" s="817"/>
      <c r="P48" s="817"/>
      <c r="Q48" s="817"/>
      <c r="R48" s="817"/>
      <c r="S48" s="803"/>
      <c r="T48" s="810"/>
      <c r="U48" s="833">
        <f>U51-U50</f>
        <v>649310.0</v>
      </c>
      <c r="V48" s="811"/>
      <c r="W48" s="811"/>
      <c r="X48" s="811"/>
      <c r="Y48" s="811"/>
      <c r="Z48" s="811"/>
      <c r="AA48" s="811"/>
      <c r="AB48" s="811"/>
      <c r="AC48" s="811"/>
      <c r="AD48" s="811"/>
      <c r="AE48" s="811"/>
      <c r="AF48" s="810"/>
      <c r="AH48" s="834">
        <f>ROUND(U48,-1)</f>
        <v>649310.0</v>
      </c>
      <c r="AI48" s="278">
        <f>AH48-250000</f>
        <v>399310.0</v>
      </c>
      <c r="AJ48" s="278">
        <f>IF(AI48&gt;250000,250000,AI48)</f>
        <v>250000.0</v>
      </c>
      <c r="AK48" s="278">
        <f>AH48-500000</f>
        <v>149310.0</v>
      </c>
      <c r="AL48" s="278">
        <f>IF(AK48&gt;500000,500000,AK48)</f>
        <v>149310.0</v>
      </c>
      <c r="AM48" s="278">
        <f>AH48-1000000</f>
        <v>-350690.0</v>
      </c>
      <c r="AN48" s="278">
        <f>IF(AM48&gt;1000000,1000000,AM48)</f>
        <v>-350690.0</v>
      </c>
      <c r="AO48" s="278">
        <f>IF(AJ48&gt;0,AJ48,0)*AO46</f>
        <v>12500.0</v>
      </c>
      <c r="AP48" s="278">
        <f>IF(AL48&gt;0,AL48,0)*$AP$73</f>
        <v>29862.0</v>
      </c>
      <c r="AQ48" s="278">
        <f>IF(AN48&gt;0,AN48,0)*$AQ$73</f>
        <v>0.0</v>
      </c>
      <c r="AR48" s="278">
        <f>AO48+AP48+AQ48</f>
        <v>42362.0</v>
      </c>
      <c r="AS48" s="278">
        <f>IF(AH48&gt;350000,0,2500)</f>
        <v>0.0</v>
      </c>
      <c r="AT48" s="278">
        <f>AR48-AS48</f>
        <v>42362.0</v>
      </c>
      <c r="AU48" s="278">
        <f>ROUND(AT48*$AU$47,0)</f>
        <v>1694.0</v>
      </c>
      <c r="AV48" s="278">
        <f>ROUND(AT48+AU48,0)</f>
        <v>44056.0</v>
      </c>
    </row>
    <row r="49" spans="8:8">
      <c r="A49" s="803"/>
      <c r="B49" s="807"/>
      <c r="C49" s="817"/>
      <c r="D49" s="817"/>
      <c r="E49" s="817"/>
      <c r="F49" s="817"/>
      <c r="G49" s="817"/>
      <c r="H49" s="817"/>
      <c r="I49" s="817"/>
      <c r="J49" s="817"/>
      <c r="K49" s="817"/>
      <c r="L49" s="817"/>
      <c r="M49" s="817"/>
      <c r="N49" s="817"/>
      <c r="O49" s="817"/>
      <c r="P49" s="817"/>
      <c r="Q49" s="817"/>
      <c r="R49" s="817"/>
      <c r="S49" s="803"/>
      <c r="T49" s="803"/>
      <c r="U49" s="803"/>
      <c r="V49" s="803"/>
      <c r="W49" s="803"/>
      <c r="X49" s="803"/>
      <c r="Y49" s="803"/>
      <c r="Z49" s="803"/>
      <c r="AA49" s="803"/>
      <c r="AB49" s="803"/>
      <c r="AC49" s="803"/>
      <c r="AD49" s="803"/>
      <c r="AE49" s="803"/>
      <c r="AF49" s="803"/>
    </row>
    <row r="50" spans="8:8">
      <c r="A50" s="803"/>
      <c r="B50" s="807">
        <v>2.0</v>
      </c>
      <c r="C50" s="808" t="s">
        <v>578</v>
      </c>
      <c r="D50" s="803"/>
      <c r="E50" s="803"/>
      <c r="F50" s="803"/>
      <c r="G50" s="803"/>
      <c r="H50" s="803"/>
      <c r="I50" s="803"/>
      <c r="J50" s="803"/>
      <c r="K50" s="803"/>
      <c r="L50" s="803"/>
      <c r="M50" s="803"/>
      <c r="N50" s="803"/>
      <c r="O50" s="803"/>
      <c r="P50" s="803"/>
      <c r="Q50" s="803"/>
      <c r="R50" s="803"/>
      <c r="S50" s="803"/>
      <c r="T50" s="810"/>
      <c r="U50" s="811">
        <f>H79</f>
        <v>0.0</v>
      </c>
      <c r="V50" s="811"/>
      <c r="W50" s="811"/>
      <c r="X50" s="811"/>
      <c r="Y50" s="811"/>
      <c r="Z50" s="811"/>
      <c r="AA50" s="811"/>
      <c r="AB50" s="811"/>
      <c r="AC50" s="811"/>
      <c r="AD50" s="811"/>
      <c r="AE50" s="811"/>
      <c r="AF50" s="810"/>
    </row>
    <row r="51" spans="8:8">
      <c r="A51" s="803"/>
      <c r="B51" s="835">
        <v>3.0</v>
      </c>
      <c r="C51" s="817" t="s">
        <v>579</v>
      </c>
      <c r="D51" s="817"/>
      <c r="E51" s="817"/>
      <c r="F51" s="817"/>
      <c r="G51" s="817"/>
      <c r="H51" s="817"/>
      <c r="I51" s="817"/>
      <c r="J51" s="817"/>
      <c r="K51" s="817"/>
      <c r="L51" s="817"/>
      <c r="M51" s="817"/>
      <c r="N51" s="817"/>
      <c r="O51" s="817"/>
      <c r="P51" s="817"/>
      <c r="Q51" s="817"/>
      <c r="R51" s="817"/>
      <c r="S51" s="803"/>
      <c r="T51" s="810"/>
      <c r="U51" s="833">
        <f>'ANNEXURE II'!L52</f>
        <v>649310.0</v>
      </c>
      <c r="V51" s="811"/>
      <c r="W51" s="811"/>
      <c r="X51" s="811"/>
      <c r="Y51" s="811"/>
      <c r="Z51" s="811"/>
      <c r="AA51" s="811"/>
      <c r="AB51" s="811"/>
      <c r="AC51" s="811"/>
      <c r="AD51" s="811"/>
      <c r="AE51" s="811"/>
      <c r="AF51" s="810"/>
      <c r="AH51" s="834">
        <f>ROUND(U51,-1)</f>
        <v>649310.0</v>
      </c>
      <c r="AI51" s="278">
        <f>AH51-250000</f>
        <v>399310.0</v>
      </c>
      <c r="AJ51" s="278">
        <f>IF(AI51&gt;250000,250000,AI51)</f>
        <v>250000.0</v>
      </c>
      <c r="AK51" s="278">
        <f>AH51-500000</f>
        <v>149310.0</v>
      </c>
      <c r="AL51" s="278">
        <f>IF(AK51&gt;500000,500000,AK51)</f>
        <v>149310.0</v>
      </c>
      <c r="AM51" s="278">
        <f>AH51-1000000</f>
        <v>-350690.0</v>
      </c>
      <c r="AN51" s="278">
        <f>IF(AM51&gt;1000000,1000000,AM51)</f>
        <v>-350690.0</v>
      </c>
      <c r="AO51" s="278">
        <f>IF(AJ51&gt;0,AJ51,0)*AO46</f>
        <v>12500.0</v>
      </c>
      <c r="AP51" s="278">
        <f>IF(AL51&gt;0,AL51,0)*$AP$73</f>
        <v>29862.0</v>
      </c>
      <c r="AQ51" s="278">
        <f>IF(AN51&gt;0,AN51,0)*$AQ$73</f>
        <v>0.0</v>
      </c>
      <c r="AR51" s="278">
        <f>AO51+AP51+AQ51</f>
        <v>42362.0</v>
      </c>
      <c r="AS51" s="278">
        <f>IF(AH51&gt;350000,0,2500)</f>
        <v>0.0</v>
      </c>
      <c r="AT51" s="278">
        <f>AR51-AS51</f>
        <v>42362.0</v>
      </c>
      <c r="AU51" s="278">
        <f>ROUND(AT51*$AU$47,0)</f>
        <v>1694.0</v>
      </c>
      <c r="AV51" s="278">
        <f>ROUND(AT51+AU51,0)</f>
        <v>44056.0</v>
      </c>
    </row>
    <row r="52" spans="8:8">
      <c r="A52" s="803"/>
      <c r="B52" s="835"/>
      <c r="C52" s="817"/>
      <c r="D52" s="817"/>
      <c r="E52" s="817"/>
      <c r="F52" s="817"/>
      <c r="G52" s="817"/>
      <c r="H52" s="817"/>
      <c r="I52" s="817"/>
      <c r="J52" s="817"/>
      <c r="K52" s="817"/>
      <c r="L52" s="817"/>
      <c r="M52" s="817"/>
      <c r="N52" s="817"/>
      <c r="O52" s="817"/>
      <c r="P52" s="817"/>
      <c r="Q52" s="817"/>
      <c r="R52" s="817"/>
      <c r="S52" s="803"/>
      <c r="T52" s="803"/>
      <c r="U52" s="803"/>
      <c r="V52" s="803"/>
      <c r="W52" s="803"/>
      <c r="X52" s="803"/>
      <c r="Y52" s="803"/>
      <c r="Z52" s="803"/>
      <c r="AA52" s="803"/>
      <c r="AB52" s="803"/>
      <c r="AC52" s="803"/>
      <c r="AD52" s="803"/>
      <c r="AE52" s="803"/>
      <c r="AF52" s="803"/>
    </row>
    <row r="53" spans="8:8">
      <c r="A53" s="803"/>
      <c r="B53" s="807">
        <v>4.0</v>
      </c>
      <c r="C53" s="808" t="s">
        <v>580</v>
      </c>
      <c r="D53" s="803"/>
      <c r="E53" s="803"/>
      <c r="F53" s="803"/>
      <c r="G53" s="803"/>
      <c r="H53" s="803"/>
      <c r="I53" s="803"/>
      <c r="J53" s="803"/>
      <c r="K53" s="803"/>
      <c r="L53" s="803"/>
      <c r="M53" s="803"/>
      <c r="N53" s="803"/>
      <c r="O53" s="803"/>
      <c r="P53" s="803"/>
      <c r="Q53" s="803"/>
      <c r="R53" s="803"/>
      <c r="S53" s="803"/>
      <c r="T53" s="810"/>
      <c r="U53" s="811">
        <f>AV51</f>
        <v>44056.0</v>
      </c>
      <c r="V53" s="811"/>
      <c r="W53" s="811"/>
      <c r="X53" s="811"/>
      <c r="Y53" s="811"/>
      <c r="Z53" s="811"/>
      <c r="AA53" s="811"/>
      <c r="AB53" s="811"/>
      <c r="AC53" s="811"/>
      <c r="AD53" s="811"/>
      <c r="AE53" s="811"/>
      <c r="AF53" s="810"/>
    </row>
    <row r="54" spans="8:8">
      <c r="A54" s="803"/>
      <c r="B54" s="807">
        <v>5.0</v>
      </c>
      <c r="C54" s="808" t="s">
        <v>581</v>
      </c>
      <c r="D54" s="803"/>
      <c r="E54" s="803"/>
      <c r="F54" s="803"/>
      <c r="G54" s="803"/>
      <c r="H54" s="803"/>
      <c r="I54" s="803"/>
      <c r="J54" s="803"/>
      <c r="K54" s="803"/>
      <c r="L54" s="803"/>
      <c r="M54" s="803"/>
      <c r="N54" s="803"/>
      <c r="O54" s="803"/>
      <c r="P54" s="803"/>
      <c r="Q54" s="803"/>
      <c r="R54" s="803"/>
      <c r="S54" s="803"/>
      <c r="T54" s="810"/>
      <c r="U54" s="811">
        <f>AV48</f>
        <v>44056.0</v>
      </c>
      <c r="V54" s="811"/>
      <c r="W54" s="811"/>
      <c r="X54" s="811"/>
      <c r="Y54" s="811"/>
      <c r="Z54" s="811"/>
      <c r="AA54" s="811"/>
      <c r="AB54" s="811"/>
      <c r="AC54" s="811"/>
      <c r="AD54" s="811"/>
      <c r="AE54" s="811"/>
      <c r="AF54" s="810"/>
    </row>
    <row r="55" spans="8:8">
      <c r="A55" s="803"/>
      <c r="B55" s="807">
        <v>6.0</v>
      </c>
      <c r="C55" s="817" t="s">
        <v>582</v>
      </c>
      <c r="D55" s="817"/>
      <c r="E55" s="817"/>
      <c r="F55" s="817"/>
      <c r="G55" s="817"/>
      <c r="H55" s="817"/>
      <c r="I55" s="817"/>
      <c r="J55" s="817"/>
      <c r="K55" s="817"/>
      <c r="L55" s="817"/>
      <c r="M55" s="817"/>
      <c r="N55" s="817"/>
      <c r="O55" s="817"/>
      <c r="P55" s="817"/>
      <c r="Q55" s="817"/>
      <c r="R55" s="817"/>
      <c r="S55" s="803"/>
      <c r="T55" s="810"/>
      <c r="U55" s="811">
        <f>U53-U54</f>
        <v>0.0</v>
      </c>
      <c r="V55" s="811"/>
      <c r="W55" s="811"/>
      <c r="X55" s="811"/>
      <c r="Y55" s="811"/>
      <c r="Z55" s="811"/>
      <c r="AA55" s="811"/>
      <c r="AB55" s="811"/>
      <c r="AC55" s="811"/>
      <c r="AD55" s="811"/>
      <c r="AE55" s="811"/>
      <c r="AF55" s="810"/>
    </row>
    <row r="56" spans="8:8">
      <c r="A56" s="803"/>
      <c r="B56" s="807"/>
      <c r="C56" s="817"/>
      <c r="D56" s="817"/>
      <c r="E56" s="817"/>
      <c r="F56" s="817"/>
      <c r="G56" s="817"/>
      <c r="H56" s="817"/>
      <c r="I56" s="817"/>
      <c r="J56" s="817"/>
      <c r="K56" s="817"/>
      <c r="L56" s="817"/>
      <c r="M56" s="817"/>
      <c r="N56" s="817"/>
      <c r="O56" s="817"/>
      <c r="P56" s="817"/>
      <c r="Q56" s="817"/>
      <c r="R56" s="817"/>
      <c r="S56" s="803"/>
      <c r="T56" s="803"/>
      <c r="U56" s="803"/>
      <c r="V56" s="803"/>
      <c r="W56" s="803"/>
      <c r="X56" s="803"/>
      <c r="Y56" s="803"/>
      <c r="Z56" s="803"/>
      <c r="AA56" s="803"/>
      <c r="AB56" s="803"/>
      <c r="AC56" s="803"/>
      <c r="AD56" s="803"/>
      <c r="AE56" s="803"/>
      <c r="AF56" s="803"/>
    </row>
    <row r="57" spans="8:8">
      <c r="A57" s="803"/>
      <c r="B57" s="807">
        <v>7.0</v>
      </c>
      <c r="C57" s="836" t="s">
        <v>583</v>
      </c>
      <c r="D57" s="836"/>
      <c r="E57" s="836"/>
      <c r="F57" s="836"/>
      <c r="G57" s="836"/>
      <c r="H57" s="836"/>
      <c r="I57" s="836"/>
      <c r="J57" s="836"/>
      <c r="K57" s="836"/>
      <c r="L57" s="836"/>
      <c r="M57" s="836"/>
      <c r="N57" s="836"/>
      <c r="O57" s="836"/>
      <c r="P57" s="836"/>
      <c r="Q57" s="836"/>
      <c r="R57" s="836"/>
      <c r="S57" s="803"/>
      <c r="T57" s="810"/>
      <c r="U57" s="811">
        <f>Z79</f>
        <v>0.0</v>
      </c>
      <c r="V57" s="811"/>
      <c r="W57" s="811"/>
      <c r="X57" s="811"/>
      <c r="Y57" s="811"/>
      <c r="Z57" s="811"/>
      <c r="AA57" s="811"/>
      <c r="AB57" s="811"/>
      <c r="AC57" s="811"/>
      <c r="AD57" s="811"/>
      <c r="AE57" s="811"/>
      <c r="AF57" s="810"/>
    </row>
    <row r="58" spans="8:8">
      <c r="A58" s="803"/>
      <c r="B58" s="807"/>
      <c r="C58" s="836"/>
      <c r="D58" s="836"/>
      <c r="E58" s="836"/>
      <c r="F58" s="836"/>
      <c r="G58" s="836"/>
      <c r="H58" s="836"/>
      <c r="I58" s="836"/>
      <c r="J58" s="836"/>
      <c r="K58" s="836"/>
      <c r="L58" s="836"/>
      <c r="M58" s="836"/>
      <c r="N58" s="836"/>
      <c r="O58" s="836"/>
      <c r="P58" s="836"/>
      <c r="Q58" s="836"/>
      <c r="R58" s="836"/>
      <c r="S58" s="803"/>
      <c r="T58" s="803"/>
      <c r="U58" s="803"/>
      <c r="V58" s="803"/>
      <c r="W58" s="803"/>
      <c r="X58" s="803"/>
      <c r="Y58" s="803"/>
      <c r="Z58" s="803"/>
      <c r="AA58" s="803"/>
      <c r="AB58" s="803"/>
      <c r="AC58" s="803"/>
      <c r="AD58" s="803"/>
      <c r="AE58" s="803"/>
      <c r="AF58" s="803"/>
    </row>
    <row r="59" spans="8:8">
      <c r="A59" s="803"/>
      <c r="B59" s="807">
        <v>8.0</v>
      </c>
      <c r="C59" s="836" t="s">
        <v>584</v>
      </c>
      <c r="D59" s="836"/>
      <c r="E59" s="836"/>
      <c r="F59" s="836"/>
      <c r="G59" s="836"/>
      <c r="H59" s="836"/>
      <c r="I59" s="836"/>
      <c r="J59" s="836"/>
      <c r="K59" s="836"/>
      <c r="L59" s="836"/>
      <c r="M59" s="836"/>
      <c r="N59" s="836"/>
      <c r="O59" s="836"/>
      <c r="P59" s="836"/>
      <c r="Q59" s="836"/>
      <c r="R59" s="836"/>
      <c r="S59" s="803"/>
      <c r="T59" s="810"/>
      <c r="U59" s="811">
        <f>ROUND(AL60,0)</f>
        <v>0.0</v>
      </c>
      <c r="V59" s="811"/>
      <c r="W59" s="811"/>
      <c r="X59" s="811"/>
      <c r="Y59" s="811"/>
      <c r="Z59" s="811"/>
      <c r="AA59" s="811"/>
      <c r="AB59" s="811"/>
      <c r="AC59" s="811"/>
      <c r="AD59" s="811"/>
      <c r="AE59" s="811"/>
      <c r="AF59" s="810"/>
      <c r="AH59" s="837">
        <f>IF(U59&gt;0,U59,0)</f>
        <v>0.0</v>
      </c>
      <c r="AL59" s="278">
        <f>U55-U57</f>
        <v>0.0</v>
      </c>
    </row>
    <row r="60" spans="8:8">
      <c r="A60" s="803"/>
      <c r="B60" s="807"/>
      <c r="C60" s="836"/>
      <c r="D60" s="836"/>
      <c r="E60" s="836"/>
      <c r="F60" s="836"/>
      <c r="G60" s="836"/>
      <c r="H60" s="836"/>
      <c r="I60" s="836"/>
      <c r="J60" s="836"/>
      <c r="K60" s="836"/>
      <c r="L60" s="836"/>
      <c r="M60" s="836"/>
      <c r="N60" s="836"/>
      <c r="O60" s="836"/>
      <c r="P60" s="836"/>
      <c r="Q60" s="836"/>
      <c r="R60" s="836"/>
      <c r="S60" s="803"/>
      <c r="T60" s="803"/>
      <c r="U60" s="803"/>
      <c r="V60" s="803"/>
      <c r="W60" s="803"/>
      <c r="X60" s="803"/>
      <c r="Y60" s="803"/>
      <c r="Z60" s="803"/>
      <c r="AA60" s="803"/>
      <c r="AB60" s="803"/>
      <c r="AC60" s="803"/>
      <c r="AD60" s="803"/>
      <c r="AE60" s="803"/>
      <c r="AF60" s="803"/>
      <c r="AL60" s="838">
        <f>IF(AL59&gt;0,AL59,0)</f>
        <v>0.0</v>
      </c>
    </row>
    <row r="61" spans="8:8">
      <c r="A61" s="803"/>
      <c r="B61" s="807"/>
      <c r="C61" s="803"/>
      <c r="D61" s="803"/>
      <c r="E61" s="803"/>
      <c r="F61" s="803"/>
      <c r="G61" s="803"/>
      <c r="H61" s="803"/>
      <c r="I61" s="803"/>
      <c r="J61" s="803"/>
      <c r="K61" s="803"/>
      <c r="L61" s="803"/>
      <c r="M61" s="803"/>
      <c r="N61" s="803"/>
      <c r="O61" s="803"/>
      <c r="P61" s="803"/>
      <c r="Q61" s="803"/>
      <c r="R61" s="803"/>
      <c r="S61" s="803"/>
      <c r="T61" s="803"/>
      <c r="U61" s="803"/>
      <c r="V61" s="803"/>
      <c r="W61" s="803"/>
      <c r="X61" s="803"/>
      <c r="Y61" s="803"/>
      <c r="Z61" s="803"/>
      <c r="AA61" s="803"/>
      <c r="AB61" s="803"/>
      <c r="AC61" s="803"/>
      <c r="AD61" s="803"/>
      <c r="AE61" s="803"/>
      <c r="AF61" s="803"/>
    </row>
    <row r="62" spans="8:8">
      <c r="A62" s="803"/>
      <c r="B62" s="801" t="s">
        <v>585</v>
      </c>
      <c r="C62" s="801"/>
      <c r="D62" s="801"/>
      <c r="E62" s="801"/>
      <c r="F62" s="801"/>
      <c r="G62" s="801"/>
      <c r="H62" s="801"/>
      <c r="I62" s="801"/>
      <c r="J62" s="801"/>
      <c r="K62" s="801"/>
      <c r="L62" s="801"/>
      <c r="M62" s="801"/>
      <c r="N62" s="801"/>
      <c r="O62" s="801"/>
      <c r="P62" s="801"/>
      <c r="Q62" s="801"/>
      <c r="R62" s="801"/>
      <c r="S62" s="801"/>
      <c r="T62" s="801"/>
      <c r="U62" s="801"/>
      <c r="V62" s="801"/>
      <c r="W62" s="801"/>
      <c r="X62" s="801"/>
      <c r="Y62" s="801"/>
      <c r="Z62" s="801"/>
      <c r="AA62" s="801"/>
      <c r="AB62" s="801"/>
      <c r="AC62" s="801"/>
      <c r="AD62" s="801"/>
      <c r="AE62" s="801"/>
      <c r="AF62" s="803"/>
    </row>
    <row r="63" spans="8:8">
      <c r="A63" s="803"/>
      <c r="B63" s="801" t="s">
        <v>586</v>
      </c>
      <c r="C63" s="801"/>
      <c r="D63" s="801"/>
      <c r="E63" s="801"/>
      <c r="F63" s="801"/>
      <c r="G63" s="801"/>
      <c r="H63" s="801"/>
      <c r="I63" s="801"/>
      <c r="J63" s="801"/>
      <c r="K63" s="801"/>
      <c r="L63" s="801"/>
      <c r="M63" s="801"/>
      <c r="N63" s="801"/>
      <c r="O63" s="801"/>
      <c r="P63" s="801"/>
      <c r="Q63" s="801"/>
      <c r="R63" s="801"/>
      <c r="S63" s="801"/>
      <c r="T63" s="801"/>
      <c r="U63" s="801"/>
      <c r="V63" s="801"/>
      <c r="W63" s="801"/>
      <c r="X63" s="801"/>
      <c r="Y63" s="801"/>
      <c r="Z63" s="801"/>
      <c r="AA63" s="801"/>
      <c r="AB63" s="801"/>
      <c r="AC63" s="801"/>
      <c r="AD63" s="801"/>
      <c r="AE63" s="801"/>
      <c r="AF63" s="803"/>
    </row>
    <row r="64" spans="8:8">
      <c r="A64" s="839" t="s">
        <v>587</v>
      </c>
      <c r="B64" s="839"/>
      <c r="C64" s="839"/>
      <c r="D64" s="840" t="s">
        <v>158</v>
      </c>
      <c r="E64" s="841"/>
      <c r="F64" s="841"/>
      <c r="G64" s="842"/>
      <c r="H64" s="839" t="s">
        <v>588</v>
      </c>
      <c r="I64" s="839"/>
      <c r="J64" s="839"/>
      <c r="K64" s="839"/>
      <c r="L64" s="839" t="s">
        <v>589</v>
      </c>
      <c r="M64" s="839"/>
      <c r="N64" s="839"/>
      <c r="O64" s="839"/>
      <c r="P64" s="839"/>
      <c r="Q64" s="839"/>
      <c r="R64" s="839" t="s">
        <v>590</v>
      </c>
      <c r="S64" s="839"/>
      <c r="T64" s="839"/>
      <c r="U64" s="839"/>
      <c r="V64" s="839" t="s">
        <v>590</v>
      </c>
      <c r="W64" s="839"/>
      <c r="X64" s="839"/>
      <c r="Y64" s="839"/>
      <c r="Z64" s="839" t="s">
        <v>591</v>
      </c>
      <c r="AA64" s="839"/>
      <c r="AB64" s="839"/>
      <c r="AC64" s="839"/>
      <c r="AD64" s="839"/>
      <c r="AE64" s="803"/>
      <c r="AF64" s="843"/>
    </row>
    <row r="65" spans="8:8">
      <c r="A65" s="844" t="s">
        <v>592</v>
      </c>
      <c r="B65" s="844"/>
      <c r="C65" s="844"/>
      <c r="D65" s="845" t="s">
        <v>593</v>
      </c>
      <c r="E65" s="846"/>
      <c r="F65" s="846"/>
      <c r="G65" s="847"/>
      <c r="H65" s="844" t="s">
        <v>594</v>
      </c>
      <c r="I65" s="844"/>
      <c r="J65" s="844"/>
      <c r="K65" s="844"/>
      <c r="L65" s="844" t="s">
        <v>595</v>
      </c>
      <c r="M65" s="844"/>
      <c r="N65" s="844"/>
      <c r="O65" s="844"/>
      <c r="P65" s="844"/>
      <c r="Q65" s="844"/>
      <c r="R65" s="848" t="s">
        <v>596</v>
      </c>
      <c r="S65" s="848"/>
      <c r="T65" s="848"/>
      <c r="U65" s="848"/>
      <c r="V65" s="848" t="s">
        <v>596</v>
      </c>
      <c r="W65" s="848"/>
      <c r="X65" s="848"/>
      <c r="Y65" s="848"/>
      <c r="Z65" s="844" t="s">
        <v>597</v>
      </c>
      <c r="AA65" s="844"/>
      <c r="AB65" s="844"/>
      <c r="AC65" s="844"/>
      <c r="AD65" s="844"/>
      <c r="AE65" s="803"/>
      <c r="AF65" s="843"/>
    </row>
    <row r="66" spans="8:8">
      <c r="A66" s="848"/>
      <c r="B66" s="848"/>
      <c r="C66" s="848"/>
      <c r="D66" s="849" t="s">
        <v>598</v>
      </c>
      <c r="E66" s="850"/>
      <c r="F66" s="850"/>
      <c r="G66" s="851"/>
      <c r="H66" s="844" t="s">
        <v>599</v>
      </c>
      <c r="I66" s="844"/>
      <c r="J66" s="844"/>
      <c r="K66" s="844"/>
      <c r="L66" s="844" t="s">
        <v>600</v>
      </c>
      <c r="M66" s="844"/>
      <c r="N66" s="844"/>
      <c r="O66" s="844"/>
      <c r="P66" s="844"/>
      <c r="Q66" s="844"/>
      <c r="R66" s="844" t="s">
        <v>601</v>
      </c>
      <c r="S66" s="844"/>
      <c r="T66" s="844"/>
      <c r="U66" s="844"/>
      <c r="V66" s="844" t="s">
        <v>601</v>
      </c>
      <c r="W66" s="844"/>
      <c r="X66" s="844"/>
      <c r="Y66" s="844"/>
      <c r="Z66" s="852" t="s">
        <v>602</v>
      </c>
      <c r="AA66" s="852"/>
      <c r="AB66" s="852"/>
      <c r="AC66" s="852"/>
      <c r="AD66" s="852"/>
      <c r="AE66" s="803"/>
      <c r="AF66" s="843"/>
    </row>
    <row r="67" spans="8:8">
      <c r="A67" s="848"/>
      <c r="B67" s="848"/>
      <c r="C67" s="848"/>
      <c r="D67" s="849" t="s">
        <v>603</v>
      </c>
      <c r="E67" s="850"/>
      <c r="F67" s="850"/>
      <c r="G67" s="851"/>
      <c r="H67" s="848" t="s">
        <v>604</v>
      </c>
      <c r="I67" s="848"/>
      <c r="J67" s="848"/>
      <c r="K67" s="848"/>
      <c r="L67" s="844" t="s">
        <v>605</v>
      </c>
      <c r="M67" s="844"/>
      <c r="N67" s="844"/>
      <c r="O67" s="844"/>
      <c r="P67" s="844"/>
      <c r="Q67" s="844"/>
      <c r="R67" s="848" t="s">
        <v>606</v>
      </c>
      <c r="S67" s="848"/>
      <c r="T67" s="848"/>
      <c r="U67" s="848"/>
      <c r="V67" s="848" t="s">
        <v>607</v>
      </c>
      <c r="W67" s="848"/>
      <c r="X67" s="848"/>
      <c r="Y67" s="848"/>
      <c r="Z67" s="844" t="s">
        <v>608</v>
      </c>
      <c r="AA67" s="844"/>
      <c r="AB67" s="844"/>
      <c r="AC67" s="844"/>
      <c r="AD67" s="844"/>
      <c r="AE67" s="803"/>
      <c r="AF67" s="843"/>
    </row>
    <row r="68" spans="8:8">
      <c r="A68" s="853"/>
      <c r="B68" s="853"/>
      <c r="C68" s="853"/>
      <c r="D68" s="845" t="s">
        <v>609</v>
      </c>
      <c r="E68" s="846"/>
      <c r="F68" s="846"/>
      <c r="G68" s="847"/>
      <c r="H68" s="844" t="s">
        <v>610</v>
      </c>
      <c r="I68" s="844"/>
      <c r="J68" s="844"/>
      <c r="K68" s="844"/>
      <c r="L68" s="844" t="s">
        <v>611</v>
      </c>
      <c r="M68" s="844"/>
      <c r="N68" s="844"/>
      <c r="O68" s="844"/>
      <c r="P68" s="844"/>
      <c r="Q68" s="844"/>
      <c r="R68" s="848"/>
      <c r="S68" s="848"/>
      <c r="T68" s="848"/>
      <c r="U68" s="848"/>
      <c r="V68" s="848"/>
      <c r="W68" s="848"/>
      <c r="X68" s="848"/>
      <c r="Y68" s="848"/>
      <c r="Z68" s="844" t="s">
        <v>612</v>
      </c>
      <c r="AA68" s="844"/>
      <c r="AB68" s="844"/>
      <c r="AC68" s="844"/>
      <c r="AD68" s="844"/>
      <c r="AE68" s="843"/>
      <c r="AF68" s="843"/>
    </row>
    <row r="69" spans="8:8">
      <c r="A69" s="853"/>
      <c r="B69" s="853"/>
      <c r="C69" s="853"/>
      <c r="D69" s="845"/>
      <c r="E69" s="846"/>
      <c r="F69" s="846"/>
      <c r="G69" s="847"/>
      <c r="H69" s="844" t="s">
        <v>613</v>
      </c>
      <c r="I69" s="844"/>
      <c r="J69" s="844"/>
      <c r="K69" s="844"/>
      <c r="L69" s="844" t="s">
        <v>614</v>
      </c>
      <c r="M69" s="844"/>
      <c r="N69" s="844"/>
      <c r="O69" s="844"/>
      <c r="P69" s="844"/>
      <c r="Q69" s="844"/>
      <c r="R69" s="848"/>
      <c r="S69" s="848"/>
      <c r="T69" s="848"/>
      <c r="U69" s="848"/>
      <c r="V69" s="848"/>
      <c r="W69" s="848"/>
      <c r="X69" s="848"/>
      <c r="Y69" s="848"/>
      <c r="Z69" s="848"/>
      <c r="AA69" s="848"/>
      <c r="AB69" s="848"/>
      <c r="AC69" s="848"/>
      <c r="AD69" s="848"/>
      <c r="AE69" s="843"/>
      <c r="AF69" s="843"/>
    </row>
    <row r="70" spans="8:8">
      <c r="A70" s="853"/>
      <c r="B70" s="853"/>
      <c r="C70" s="853"/>
      <c r="D70" s="845"/>
      <c r="E70" s="846"/>
      <c r="F70" s="846"/>
      <c r="G70" s="847"/>
      <c r="H70" s="848" t="s">
        <v>615</v>
      </c>
      <c r="I70" s="848"/>
      <c r="J70" s="848"/>
      <c r="K70" s="848"/>
      <c r="L70" s="844" t="s">
        <v>616</v>
      </c>
      <c r="M70" s="844"/>
      <c r="N70" s="844"/>
      <c r="O70" s="844"/>
      <c r="P70" s="844"/>
      <c r="Q70" s="844"/>
      <c r="R70" s="848"/>
      <c r="S70" s="848"/>
      <c r="T70" s="848"/>
      <c r="U70" s="848"/>
      <c r="V70" s="848"/>
      <c r="W70" s="848"/>
      <c r="X70" s="848"/>
      <c r="Y70" s="848"/>
      <c r="Z70" s="848"/>
      <c r="AA70" s="848"/>
      <c r="AB70" s="848"/>
      <c r="AC70" s="848"/>
      <c r="AD70" s="848"/>
      <c r="AE70" s="843"/>
      <c r="AF70" s="843"/>
    </row>
    <row r="71" spans="8:8">
      <c r="A71" s="853"/>
      <c r="B71" s="853"/>
      <c r="C71" s="853"/>
      <c r="D71" s="845"/>
      <c r="E71" s="846"/>
      <c r="F71" s="846"/>
      <c r="G71" s="847"/>
      <c r="H71" s="844" t="s">
        <v>617</v>
      </c>
      <c r="I71" s="844"/>
      <c r="J71" s="844"/>
      <c r="K71" s="844"/>
      <c r="L71" s="844" t="s">
        <v>618</v>
      </c>
      <c r="M71" s="844"/>
      <c r="N71" s="844"/>
      <c r="O71" s="844"/>
      <c r="P71" s="844"/>
      <c r="Q71" s="844"/>
      <c r="R71" s="848"/>
      <c r="S71" s="848"/>
      <c r="T71" s="848"/>
      <c r="U71" s="848"/>
      <c r="V71" s="848"/>
      <c r="W71" s="848"/>
      <c r="X71" s="848"/>
      <c r="Y71" s="848"/>
      <c r="Z71" s="848"/>
      <c r="AA71" s="848"/>
      <c r="AB71" s="848"/>
      <c r="AC71" s="848"/>
      <c r="AD71" s="848"/>
      <c r="AE71" s="843"/>
      <c r="AF71" s="843"/>
    </row>
    <row r="72" spans="8:8">
      <c r="A72" s="854"/>
      <c r="B72" s="854"/>
      <c r="C72" s="854"/>
      <c r="D72" s="855" t="s">
        <v>619</v>
      </c>
      <c r="E72" s="856"/>
      <c r="F72" s="856"/>
      <c r="G72" s="857"/>
      <c r="H72" s="858" t="s">
        <v>619</v>
      </c>
      <c r="I72" s="858"/>
      <c r="J72" s="858"/>
      <c r="K72" s="858"/>
      <c r="L72" s="858" t="s">
        <v>619</v>
      </c>
      <c r="M72" s="858"/>
      <c r="N72" s="858"/>
      <c r="O72" s="858"/>
      <c r="P72" s="858"/>
      <c r="Q72" s="858"/>
      <c r="R72" s="859" t="s">
        <v>619</v>
      </c>
      <c r="S72" s="859"/>
      <c r="T72" s="859"/>
      <c r="U72" s="859"/>
      <c r="V72" s="859" t="s">
        <v>619</v>
      </c>
      <c r="W72" s="859"/>
      <c r="X72" s="859"/>
      <c r="Y72" s="859"/>
      <c r="Z72" s="859" t="s">
        <v>619</v>
      </c>
      <c r="AA72" s="859"/>
      <c r="AB72" s="859"/>
      <c r="AC72" s="859"/>
      <c r="AD72" s="859"/>
      <c r="AE72" s="803"/>
      <c r="AF72" s="860"/>
      <c r="AG72" s="861"/>
      <c r="AH72" s="861"/>
      <c r="AI72" s="861"/>
      <c r="AJ72" s="861"/>
      <c r="AK72" s="861"/>
      <c r="AL72" s="861"/>
      <c r="AM72" s="861"/>
      <c r="AN72" s="861"/>
      <c r="AO72" s="862">
        <v>0.05</v>
      </c>
      <c r="AP72" s="861"/>
      <c r="AQ72" s="861"/>
      <c r="AR72" s="861"/>
      <c r="AS72" s="861"/>
      <c r="AT72" s="861"/>
      <c r="AU72" s="862">
        <v>0.04</v>
      </c>
      <c r="AV72" s="861"/>
    </row>
    <row r="73" spans="8:8">
      <c r="A73" s="863">
        <v>1.0</v>
      </c>
      <c r="B73" s="863"/>
      <c r="C73" s="863"/>
      <c r="D73" s="864">
        <v>2.0</v>
      </c>
      <c r="E73" s="865"/>
      <c r="F73" s="865"/>
      <c r="G73" s="866"/>
      <c r="H73" s="863">
        <v>3.0</v>
      </c>
      <c r="I73" s="863"/>
      <c r="J73" s="863"/>
      <c r="K73" s="863"/>
      <c r="L73" s="863">
        <v>4.0</v>
      </c>
      <c r="M73" s="863"/>
      <c r="N73" s="863"/>
      <c r="O73" s="863"/>
      <c r="P73" s="863"/>
      <c r="Q73" s="863"/>
      <c r="R73" s="867">
        <v>5.0</v>
      </c>
      <c r="S73" s="867"/>
      <c r="T73" s="867"/>
      <c r="U73" s="867"/>
      <c r="V73" s="867">
        <v>6.0</v>
      </c>
      <c r="W73" s="867"/>
      <c r="X73" s="867"/>
      <c r="Y73" s="867"/>
      <c r="Z73" s="867">
        <v>7.0</v>
      </c>
      <c r="AA73" s="867"/>
      <c r="AB73" s="867"/>
      <c r="AC73" s="867"/>
      <c r="AD73" s="867"/>
      <c r="AE73" s="860"/>
      <c r="AF73" s="860"/>
      <c r="AG73" s="861"/>
      <c r="AH73" s="861"/>
      <c r="AI73" s="868" t="s">
        <v>660</v>
      </c>
      <c r="AJ73" s="868"/>
      <c r="AK73" s="868" t="s">
        <v>661</v>
      </c>
      <c r="AL73" s="868"/>
      <c r="AM73" s="868" t="s">
        <v>662</v>
      </c>
      <c r="AN73" s="868"/>
      <c r="AO73" s="862">
        <v>0.1</v>
      </c>
      <c r="AP73" s="862">
        <v>0.2</v>
      </c>
      <c r="AQ73" s="862">
        <v>0.3</v>
      </c>
      <c r="AR73" s="861" t="s">
        <v>158</v>
      </c>
      <c r="AS73" s="861" t="s">
        <v>573</v>
      </c>
      <c r="AT73" s="861" t="s">
        <v>663</v>
      </c>
      <c r="AU73" s="862">
        <v>0.03</v>
      </c>
      <c r="AV73" s="861" t="s">
        <v>664</v>
      </c>
      <c r="AW73" s="869"/>
      <c r="AX73" s="869"/>
      <c r="AY73" s="869"/>
      <c r="AZ73" s="869"/>
      <c r="BA73" s="869"/>
      <c r="BB73" s="869"/>
      <c r="BC73" s="869"/>
    </row>
    <row r="74" spans="8:8">
      <c r="A74" s="870" t="str">
        <f>Data!I48</f>
        <v>2019-20</v>
      </c>
      <c r="B74" s="871"/>
      <c r="C74" s="871"/>
      <c r="D74" s="872">
        <f>Data!M48</f>
        <v>0.0</v>
      </c>
      <c r="E74" s="873"/>
      <c r="F74" s="873"/>
      <c r="G74" s="874"/>
      <c r="H74" s="875">
        <f>IF(D74&gt;0,Data!K48,0)</f>
        <v>0.0</v>
      </c>
      <c r="I74" s="875"/>
      <c r="J74" s="875"/>
      <c r="K74" s="875"/>
      <c r="L74" s="875">
        <f>D74+H74</f>
        <v>0.0</v>
      </c>
      <c r="M74" s="875"/>
      <c r="N74" s="875"/>
      <c r="O74" s="875"/>
      <c r="P74" s="875"/>
      <c r="Q74" s="875"/>
      <c r="R74" s="876">
        <f>IF(AV74&gt;0,AV74,0)</f>
        <v>0.0</v>
      </c>
      <c r="S74" s="876"/>
      <c r="T74" s="876"/>
      <c r="U74" s="876"/>
      <c r="V74" s="876">
        <f>IF(AV81&gt;0,AV81,0)</f>
        <v>0.0</v>
      </c>
      <c r="W74" s="876"/>
      <c r="X74" s="876"/>
      <c r="Y74" s="876"/>
      <c r="Z74" s="876">
        <f>V74-R74</f>
        <v>0.0</v>
      </c>
      <c r="AA74" s="876"/>
      <c r="AB74" s="876"/>
      <c r="AC74" s="876"/>
      <c r="AD74" s="876"/>
      <c r="AE74" s="860"/>
      <c r="AF74" s="860"/>
      <c r="AG74" s="861" t="str">
        <f>A74</f>
        <v>2019-20</v>
      </c>
      <c r="AH74" s="861">
        <f>D74</f>
        <v>0.0</v>
      </c>
      <c r="AI74" s="861">
        <f>AH74-250000</f>
        <v>-250000.0</v>
      </c>
      <c r="AJ74" s="861">
        <f>IF(AI74&gt;250000,250000,AI74)</f>
        <v>-250000.0</v>
      </c>
      <c r="AK74" s="861">
        <f>AH74-500000</f>
        <v>-500000.0</v>
      </c>
      <c r="AL74" s="861">
        <f>IF(AK74&gt;500000,500000,AK74)</f>
        <v>-500000.0</v>
      </c>
      <c r="AM74" s="861">
        <f>AH74-1000000</f>
        <v>-1000000.0</v>
      </c>
      <c r="AN74" s="861">
        <f>IF(AM74&gt;1000000,1000000,AM74)</f>
        <v>-1000000.0</v>
      </c>
      <c r="AO74" s="861">
        <f>IF(AJ74&gt;0,AJ74,0)*$AO$72</f>
        <v>0.0</v>
      </c>
      <c r="AP74" s="861">
        <f>IF(AL74&gt;0,AL74,0)*$AP$73</f>
        <v>0.0</v>
      </c>
      <c r="AQ74" s="861">
        <f>IF(AN74&gt;0,AN74,0)*$AQ$73</f>
        <v>0.0</v>
      </c>
      <c r="AR74" s="861">
        <f>AO74+AP74+AQ74</f>
        <v>0.0</v>
      </c>
      <c r="AS74" s="861">
        <f>IF(AH74&gt;500000,0,12500)</f>
        <v>12500.0</v>
      </c>
      <c r="AT74" s="861">
        <f>AR74-AS74</f>
        <v>-12500.0</v>
      </c>
      <c r="AU74" s="861">
        <f>ROUND(AT74*$AU$72,0)</f>
        <v>-500.0</v>
      </c>
      <c r="AV74" s="861">
        <f>ROUND(AT74+AU74,0)</f>
        <v>-13000.0</v>
      </c>
      <c r="AW74" s="869"/>
      <c r="AX74" s="869"/>
      <c r="AY74" s="869"/>
      <c r="AZ74" s="869"/>
      <c r="BA74" s="869"/>
      <c r="BB74" s="869"/>
      <c r="BC74" s="869"/>
    </row>
    <row r="75" spans="8:8">
      <c r="A75" s="870" t="str">
        <f>Data!I49</f>
        <v>2018-19</v>
      </c>
      <c r="B75" s="871"/>
      <c r="C75" s="871"/>
      <c r="D75" s="877">
        <f>Data!M49</f>
        <v>0.0</v>
      </c>
      <c r="E75" s="878"/>
      <c r="F75" s="878"/>
      <c r="G75" s="879"/>
      <c r="H75" s="880">
        <f>Data!K49</f>
        <v>0.0</v>
      </c>
      <c r="I75" s="880"/>
      <c r="J75" s="880"/>
      <c r="K75" s="880"/>
      <c r="L75" s="881">
        <f t="shared" si="0" ref="L75:L78">D75+H75</f>
        <v>0.0</v>
      </c>
      <c r="M75" s="881"/>
      <c r="N75" s="881"/>
      <c r="O75" s="881"/>
      <c r="P75" s="881"/>
      <c r="Q75" s="881"/>
      <c r="R75" s="882">
        <f>IF(AV75&gt;0,AV75,0)</f>
        <v>0.0</v>
      </c>
      <c r="S75" s="882"/>
      <c r="T75" s="882"/>
      <c r="U75" s="882"/>
      <c r="V75" s="882">
        <f>IF(AV82&gt;0,AV82,0)</f>
        <v>0.0</v>
      </c>
      <c r="W75" s="882"/>
      <c r="X75" s="882"/>
      <c r="Y75" s="882"/>
      <c r="Z75" s="882">
        <f t="shared" si="1" ref="Z75:Z78">V75-R75</f>
        <v>0.0</v>
      </c>
      <c r="AA75" s="882"/>
      <c r="AB75" s="882"/>
      <c r="AC75" s="882"/>
      <c r="AD75" s="882"/>
      <c r="AE75" s="860"/>
      <c r="AF75" s="860"/>
      <c r="AG75" s="861" t="str">
        <f t="shared" si="2" ref="AG75:AG78">A75</f>
        <v>2018-19</v>
      </c>
      <c r="AH75" s="861">
        <f t="shared" si="3" ref="AH75:AH78">D75</f>
        <v>0.0</v>
      </c>
      <c r="AI75" s="861">
        <f>AH75-250000</f>
        <v>-250000.0</v>
      </c>
      <c r="AJ75" s="861">
        <f t="shared" si="4" ref="AJ75:AJ78">IF(AI75&gt;250000,250000,AI75)</f>
        <v>-250000.0</v>
      </c>
      <c r="AK75" s="861">
        <f>AH75-500000</f>
        <v>-500000.0</v>
      </c>
      <c r="AL75" s="861">
        <f t="shared" si="5" ref="AL75:AL78">IF(AK75&gt;500000,500000,AK75)</f>
        <v>-500000.0</v>
      </c>
      <c r="AM75" s="861">
        <f>AH75-1000000</f>
        <v>-1000000.0</v>
      </c>
      <c r="AN75" s="861">
        <f t="shared" si="6" ref="AN75:AN78">IF(AM75&gt;1000000,1000000,AM75)</f>
        <v>-1000000.0</v>
      </c>
      <c r="AO75" s="861">
        <f>IF(AJ75&gt;0,AJ75,0)*$AO$72</f>
        <v>0.0</v>
      </c>
      <c r="AP75" s="861">
        <f t="shared" si="7" ref="AP75:AP78">IF(AL75&gt;0,AL75,0)*$AP$73</f>
        <v>0.0</v>
      </c>
      <c r="AQ75" s="861">
        <f t="shared" si="8" ref="AQ75:AQ78">IF(AN75&gt;0,AN75,0)*$AQ$73</f>
        <v>0.0</v>
      </c>
      <c r="AR75" s="861">
        <f t="shared" si="9" ref="AR75:AR78">AO75+AP75+AQ75</f>
        <v>0.0</v>
      </c>
      <c r="AS75" s="861">
        <f>IF(AH75&gt;350000,0,2500)</f>
        <v>2500.0</v>
      </c>
      <c r="AT75" s="861">
        <f t="shared" si="10" ref="AT75:AT78">AR75-AS75</f>
        <v>-2500.0</v>
      </c>
      <c r="AU75" s="861">
        <f>ROUND(AT75*$AU$72,0)</f>
        <v>-100.0</v>
      </c>
      <c r="AV75" s="861">
        <f t="shared" si="11" ref="AV75:AV78">ROUND(AT75+AU75,0)</f>
        <v>-2600.0</v>
      </c>
      <c r="AW75" s="869"/>
      <c r="AX75" s="869"/>
      <c r="AY75" s="869"/>
      <c r="AZ75" s="869"/>
      <c r="BA75" s="869"/>
      <c r="BB75" s="869"/>
      <c r="BC75" s="869"/>
    </row>
    <row r="76" spans="8:8">
      <c r="A76" s="870" t="str">
        <f>Data!I50</f>
        <v>2017-18</v>
      </c>
      <c r="B76" s="871"/>
      <c r="C76" s="871"/>
      <c r="D76" s="877">
        <f>Data!M50</f>
        <v>0.0</v>
      </c>
      <c r="E76" s="878"/>
      <c r="F76" s="878"/>
      <c r="G76" s="879"/>
      <c r="H76" s="880">
        <f>Data!K50</f>
        <v>0.0</v>
      </c>
      <c r="I76" s="880"/>
      <c r="J76" s="880"/>
      <c r="K76" s="880"/>
      <c r="L76" s="880">
        <f t="shared" si="0"/>
        <v>0.0</v>
      </c>
      <c r="M76" s="880"/>
      <c r="N76" s="880"/>
      <c r="O76" s="880"/>
      <c r="P76" s="880"/>
      <c r="Q76" s="880"/>
      <c r="R76" s="882">
        <f>IF(AV76&gt;0,AV76,0)</f>
        <v>0.0</v>
      </c>
      <c r="S76" s="882"/>
      <c r="T76" s="882"/>
      <c r="U76" s="882"/>
      <c r="V76" s="882">
        <f>IF(AV83&gt;0,AV83,0)</f>
        <v>0.0</v>
      </c>
      <c r="W76" s="882"/>
      <c r="X76" s="882"/>
      <c r="Y76" s="882"/>
      <c r="Z76" s="882">
        <f t="shared" si="1"/>
        <v>0.0</v>
      </c>
      <c r="AA76" s="882"/>
      <c r="AB76" s="882"/>
      <c r="AC76" s="882"/>
      <c r="AD76" s="882"/>
      <c r="AE76" s="860"/>
      <c r="AF76" s="860"/>
      <c r="AG76" s="861" t="str">
        <f t="shared" si="2"/>
        <v>2017-18</v>
      </c>
      <c r="AH76" s="861">
        <f t="shared" si="3"/>
        <v>0.0</v>
      </c>
      <c r="AI76" s="861">
        <f>AH76-250000</f>
        <v>-250000.0</v>
      </c>
      <c r="AJ76" s="861">
        <f t="shared" si="4"/>
        <v>-250000.0</v>
      </c>
      <c r="AK76" s="861">
        <f>AH76-500000</f>
        <v>-500000.0</v>
      </c>
      <c r="AL76" s="861">
        <f t="shared" si="5"/>
        <v>-500000.0</v>
      </c>
      <c r="AM76" s="861">
        <f>AH76-1000000</f>
        <v>-1000000.0</v>
      </c>
      <c r="AN76" s="861">
        <f t="shared" si="6"/>
        <v>-1000000.0</v>
      </c>
      <c r="AO76" s="861">
        <f t="shared" si="12" ref="AO76:AO78">IF(AJ76&gt;0,AJ76,0)*$AO$73</f>
        <v>0.0</v>
      </c>
      <c r="AP76" s="861">
        <f t="shared" si="7"/>
        <v>0.0</v>
      </c>
      <c r="AQ76" s="861">
        <f t="shared" si="8"/>
        <v>0.0</v>
      </c>
      <c r="AR76" s="861">
        <f t="shared" si="9"/>
        <v>0.0</v>
      </c>
      <c r="AS76" s="861">
        <f>IF(AH76&gt;500000,0,5000)</f>
        <v>5000.0</v>
      </c>
      <c r="AT76" s="861">
        <f t="shared" si="10"/>
        <v>-5000.0</v>
      </c>
      <c r="AU76" s="861">
        <f t="shared" si="13" ref="AU76:AU78">ROUND(AT76*$AU$73,0)</f>
        <v>-150.0</v>
      </c>
      <c r="AV76" s="861">
        <f t="shared" si="11"/>
        <v>-5150.0</v>
      </c>
      <c r="AW76" s="869"/>
      <c r="AX76" s="869"/>
      <c r="AY76" s="869"/>
      <c r="AZ76" s="869"/>
      <c r="BA76" s="869"/>
      <c r="BB76" s="869"/>
      <c r="BC76" s="869"/>
    </row>
    <row r="77" spans="8:8">
      <c r="A77" s="870" t="str">
        <f>Data!I51</f>
        <v>2016-17</v>
      </c>
      <c r="B77" s="871"/>
      <c r="C77" s="871"/>
      <c r="D77" s="877">
        <f>Data!M51</f>
        <v>0.0</v>
      </c>
      <c r="E77" s="878"/>
      <c r="F77" s="878"/>
      <c r="G77" s="879"/>
      <c r="H77" s="880">
        <f>Data!K51</f>
        <v>0.0</v>
      </c>
      <c r="I77" s="880"/>
      <c r="J77" s="880"/>
      <c r="K77" s="880"/>
      <c r="L77" s="883">
        <f t="shared" si="0"/>
        <v>0.0</v>
      </c>
      <c r="M77" s="883"/>
      <c r="N77" s="883"/>
      <c r="O77" s="883"/>
      <c r="P77" s="883"/>
      <c r="Q77" s="883"/>
      <c r="R77" s="882">
        <f>IF(AV77&gt;0,AV77,0)</f>
        <v>0.0</v>
      </c>
      <c r="S77" s="882"/>
      <c r="T77" s="882"/>
      <c r="U77" s="882"/>
      <c r="V77" s="882">
        <f>IF(AV84&gt;0,AV84,0)</f>
        <v>0.0</v>
      </c>
      <c r="W77" s="882"/>
      <c r="X77" s="882"/>
      <c r="Y77" s="882"/>
      <c r="Z77" s="882">
        <f t="shared" si="1"/>
        <v>0.0</v>
      </c>
      <c r="AA77" s="882"/>
      <c r="AB77" s="882"/>
      <c r="AC77" s="882"/>
      <c r="AD77" s="882"/>
      <c r="AE77" s="860"/>
      <c r="AF77" s="860"/>
      <c r="AG77" s="861" t="str">
        <f t="shared" si="2"/>
        <v>2016-17</v>
      </c>
      <c r="AH77" s="861">
        <f t="shared" si="3"/>
        <v>0.0</v>
      </c>
      <c r="AI77" s="861">
        <f>AH77-250000</f>
        <v>-250000.0</v>
      </c>
      <c r="AJ77" s="861">
        <f t="shared" si="4"/>
        <v>-250000.0</v>
      </c>
      <c r="AK77" s="861">
        <f>AH77-500000</f>
        <v>-500000.0</v>
      </c>
      <c r="AL77" s="861">
        <f t="shared" si="5"/>
        <v>-500000.0</v>
      </c>
      <c r="AM77" s="861">
        <f>AH77-1000000</f>
        <v>-1000000.0</v>
      </c>
      <c r="AN77" s="861">
        <f t="shared" si="6"/>
        <v>-1000000.0</v>
      </c>
      <c r="AO77" s="861">
        <f t="shared" si="12"/>
        <v>0.0</v>
      </c>
      <c r="AP77" s="861">
        <f t="shared" si="7"/>
        <v>0.0</v>
      </c>
      <c r="AQ77" s="861">
        <f t="shared" si="8"/>
        <v>0.0</v>
      </c>
      <c r="AR77" s="861">
        <f t="shared" si="9"/>
        <v>0.0</v>
      </c>
      <c r="AS77" s="861">
        <f>IF(AH77&gt;500000,0,2000)</f>
        <v>2000.0</v>
      </c>
      <c r="AT77" s="861">
        <f t="shared" si="10"/>
        <v>-2000.0</v>
      </c>
      <c r="AU77" s="861">
        <f t="shared" si="13"/>
        <v>-60.0</v>
      </c>
      <c r="AV77" s="861">
        <f t="shared" si="11"/>
        <v>-2060.0</v>
      </c>
      <c r="AW77" s="869"/>
      <c r="AX77" s="869"/>
      <c r="AY77" s="869"/>
      <c r="AZ77" s="869"/>
      <c r="BA77" s="869"/>
      <c r="BB77" s="869"/>
      <c r="BC77" s="869"/>
    </row>
    <row r="78" spans="8:8">
      <c r="A78" s="870" t="str">
        <f>Data!I52</f>
        <v>2015-16</v>
      </c>
      <c r="B78" s="871"/>
      <c r="C78" s="871"/>
      <c r="D78" s="884">
        <f>Data!M52</f>
        <v>0.0</v>
      </c>
      <c r="E78" s="885"/>
      <c r="F78" s="885"/>
      <c r="G78" s="886"/>
      <c r="H78" s="887">
        <f>Data!K52</f>
        <v>0.0</v>
      </c>
      <c r="I78" s="887"/>
      <c r="J78" s="887"/>
      <c r="K78" s="887"/>
      <c r="L78" s="887">
        <f t="shared" si="0"/>
        <v>0.0</v>
      </c>
      <c r="M78" s="887"/>
      <c r="N78" s="887"/>
      <c r="O78" s="887"/>
      <c r="P78" s="887"/>
      <c r="Q78" s="887"/>
      <c r="R78" s="888">
        <f>IF(AV78&gt;0,AV78,0)</f>
        <v>0.0</v>
      </c>
      <c r="S78" s="888"/>
      <c r="T78" s="888"/>
      <c r="U78" s="888"/>
      <c r="V78" s="888">
        <f>IF(AV85&gt;0,AV85,0)</f>
        <v>0.0</v>
      </c>
      <c r="W78" s="888"/>
      <c r="X78" s="888"/>
      <c r="Y78" s="888"/>
      <c r="Z78" s="888">
        <f t="shared" si="1"/>
        <v>0.0</v>
      </c>
      <c r="AA78" s="888"/>
      <c r="AB78" s="888"/>
      <c r="AC78" s="888"/>
      <c r="AD78" s="888"/>
      <c r="AE78" s="860"/>
      <c r="AF78" s="860"/>
      <c r="AG78" s="861" t="str">
        <f t="shared" si="2"/>
        <v>2015-16</v>
      </c>
      <c r="AH78" s="861">
        <f t="shared" si="3"/>
        <v>0.0</v>
      </c>
      <c r="AI78" s="861">
        <f>AH78-200000</f>
        <v>-200000.0</v>
      </c>
      <c r="AJ78" s="861">
        <f t="shared" si="4"/>
        <v>-200000.0</v>
      </c>
      <c r="AK78" s="861">
        <f>AH78-500000</f>
        <v>-500000.0</v>
      </c>
      <c r="AL78" s="861">
        <f t="shared" si="5"/>
        <v>-500000.0</v>
      </c>
      <c r="AM78" s="861">
        <f>AH78-1000000</f>
        <v>-1000000.0</v>
      </c>
      <c r="AN78" s="861">
        <f t="shared" si="6"/>
        <v>-1000000.0</v>
      </c>
      <c r="AO78" s="861">
        <f t="shared" si="12"/>
        <v>0.0</v>
      </c>
      <c r="AP78" s="861">
        <f t="shared" si="7"/>
        <v>0.0</v>
      </c>
      <c r="AQ78" s="861">
        <f t="shared" si="8"/>
        <v>0.0</v>
      </c>
      <c r="AR78" s="861">
        <f t="shared" si="9"/>
        <v>0.0</v>
      </c>
      <c r="AS78" s="861">
        <f>IF(AH78&gt;500000,0,2000)</f>
        <v>2000.0</v>
      </c>
      <c r="AT78" s="861">
        <f t="shared" si="10"/>
        <v>-2000.0</v>
      </c>
      <c r="AU78" s="861">
        <f t="shared" si="13"/>
        <v>-60.0</v>
      </c>
      <c r="AV78" s="861">
        <f t="shared" si="11"/>
        <v>-2060.0</v>
      </c>
      <c r="AW78" s="869"/>
      <c r="AX78" s="869"/>
      <c r="AY78" s="869"/>
      <c r="AZ78" s="869"/>
      <c r="BA78" s="869"/>
      <c r="BB78" s="869"/>
      <c r="BC78" s="869"/>
    </row>
    <row r="79" spans="8:8">
      <c r="A79" s="889" t="s">
        <v>158</v>
      </c>
      <c r="B79" s="889"/>
      <c r="C79" s="889"/>
      <c r="D79" s="890">
        <f>SUM(D74:G78)</f>
        <v>0.0</v>
      </c>
      <c r="E79" s="890"/>
      <c r="F79" s="890"/>
      <c r="G79" s="890"/>
      <c r="H79" s="890">
        <f>SUM(H74:K78)</f>
        <v>0.0</v>
      </c>
      <c r="I79" s="890"/>
      <c r="J79" s="890"/>
      <c r="K79" s="890"/>
      <c r="L79" s="890">
        <f>SUM(L74:Q78)</f>
        <v>0.0</v>
      </c>
      <c r="M79" s="890"/>
      <c r="N79" s="890"/>
      <c r="O79" s="890"/>
      <c r="P79" s="890"/>
      <c r="Q79" s="890"/>
      <c r="R79" s="890">
        <f>SUM(R74:U78)</f>
        <v>0.0</v>
      </c>
      <c r="S79" s="890"/>
      <c r="T79" s="890"/>
      <c r="U79" s="890"/>
      <c r="V79" s="890">
        <f>SUM(V74:Y78)</f>
        <v>0.0</v>
      </c>
      <c r="W79" s="890"/>
      <c r="X79" s="890"/>
      <c r="Y79" s="890"/>
      <c r="Z79" s="890">
        <f>SUM(Z74:AD78)</f>
        <v>0.0</v>
      </c>
      <c r="AA79" s="890"/>
      <c r="AB79" s="890"/>
      <c r="AC79" s="890"/>
      <c r="AD79" s="890"/>
      <c r="AE79" s="860"/>
      <c r="AF79" s="860"/>
      <c r="AG79" s="861"/>
      <c r="AH79" s="861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 s="869"/>
      <c r="AX79" s="869"/>
      <c r="AY79" s="869"/>
      <c r="AZ79" s="869"/>
      <c r="BA79" s="869"/>
      <c r="BB79" s="869"/>
      <c r="BC79" s="869"/>
    </row>
    <row r="80" spans="8:8">
      <c r="A80" s="891" t="s">
        <v>620</v>
      </c>
      <c r="B80" s="807"/>
      <c r="C80" s="803"/>
      <c r="D80" s="803"/>
      <c r="E80" s="803"/>
      <c r="F80" s="803"/>
      <c r="G80" s="803"/>
      <c r="H80" s="803"/>
      <c r="I80" s="803"/>
      <c r="J80" s="803"/>
      <c r="K80" s="803"/>
      <c r="L80" s="803"/>
      <c r="M80" s="803"/>
      <c r="N80" s="803"/>
      <c r="O80" s="803"/>
      <c r="P80" s="803"/>
      <c r="Q80" s="803"/>
      <c r="R80" s="803"/>
      <c r="S80" s="803"/>
      <c r="T80" s="803"/>
      <c r="U80" s="803"/>
      <c r="V80" s="803"/>
      <c r="W80" s="803"/>
      <c r="X80" s="803"/>
      <c r="Y80" s="803"/>
      <c r="Z80" s="803"/>
      <c r="AA80" s="803"/>
      <c r="AB80" s="803"/>
      <c r="AC80" s="803"/>
      <c r="AD80" s="803"/>
      <c r="AE80" s="803"/>
      <c r="AF80" s="803"/>
      <c r="AG80"/>
      <c r="AH80" s="861"/>
      <c r="AI80" s="861"/>
      <c r="AJ80" s="861"/>
      <c r="AK80" s="861"/>
      <c r="AL80" s="861"/>
      <c r="AM80" s="861"/>
      <c r="AN80" s="861"/>
      <c r="AO80" s="861"/>
      <c r="AP80" s="861"/>
      <c r="AQ80" s="861"/>
      <c r="AR80" s="861"/>
      <c r="AS80" s="861"/>
      <c r="AT80" s="861"/>
      <c r="AU80" s="861"/>
      <c r="AV80" s="861"/>
    </row>
    <row r="81" spans="8:8">
      <c r="A81" s="803"/>
      <c r="B81" s="807"/>
      <c r="C81" s="815" t="s">
        <v>654</v>
      </c>
      <c r="D81" s="803"/>
      <c r="E81" s="803"/>
      <c r="F81" s="803"/>
      <c r="G81" s="803"/>
      <c r="H81" s="803"/>
      <c r="I81" s="803"/>
      <c r="J81" s="803"/>
      <c r="K81" s="803"/>
      <c r="L81" s="803"/>
      <c r="M81" s="803"/>
      <c r="N81" s="803"/>
      <c r="O81" s="803"/>
      <c r="P81" s="803"/>
      <c r="Q81" s="803"/>
      <c r="R81" s="803"/>
      <c r="S81" s="803"/>
      <c r="T81" s="803"/>
      <c r="U81" s="803"/>
      <c r="V81" s="803"/>
      <c r="W81" s="803"/>
      <c r="X81" s="803"/>
      <c r="Y81" s="803"/>
      <c r="Z81" s="803"/>
      <c r="AA81" s="803"/>
      <c r="AB81" s="803"/>
      <c r="AC81" s="803"/>
      <c r="AD81" s="803"/>
      <c r="AE81" s="803"/>
      <c r="AF81" s="803"/>
      <c r="AG81" t="str">
        <f>A74</f>
        <v>2019-20</v>
      </c>
      <c r="AH81">
        <f>ROUND(L74,-1)</f>
        <v>0.0</v>
      </c>
      <c r="AI81">
        <f>AH81-250000</f>
        <v>-250000.0</v>
      </c>
      <c r="AJ81">
        <f>IF(AI81&gt;250000,250000,AI81)</f>
        <v>-250000.0</v>
      </c>
      <c r="AK81">
        <f>AH81-500000</f>
        <v>-500000.0</v>
      </c>
      <c r="AL81">
        <f>IF(AK81&gt;500000,500000,AK81)</f>
        <v>-500000.0</v>
      </c>
      <c r="AM81">
        <f>AH81-1000000</f>
        <v>-1000000.0</v>
      </c>
      <c r="AN81">
        <f>IF(AM81&gt;1000000,1000000,AM81)</f>
        <v>-1000000.0</v>
      </c>
      <c r="AO81">
        <f>IF(AJ81&gt;0,AJ81,0)*$AO$72</f>
        <v>0.0</v>
      </c>
      <c r="AP81">
        <f>IF(AL81&gt;0,AL81,0)*$AP$73</f>
        <v>0.0</v>
      </c>
      <c r="AQ81">
        <f>IF(AN81&gt;0,AN81,0)*$AQ$73</f>
        <v>0.0</v>
      </c>
      <c r="AR81">
        <f>AO81+AP81+AQ81</f>
        <v>0.0</v>
      </c>
      <c r="AS81">
        <f>IF(AH81&gt;500000,0,12500)</f>
        <v>12500.0</v>
      </c>
      <c r="AT81">
        <f>AR81-AS81</f>
        <v>-12500.0</v>
      </c>
      <c r="AU81">
        <f>ROUND(AT81*$AU$72,0)</f>
        <v>-500.0</v>
      </c>
      <c r="AV81">
        <f>ROUND(AT81+AU81,0)</f>
        <v>-13000.0</v>
      </c>
    </row>
    <row r="82" spans="8:8">
      <c r="AG82" t="str">
        <f t="shared" si="14" ref="AG82:AG85">A75</f>
        <v>2018-19</v>
      </c>
      <c r="AH82">
        <f>ROUND(L75,-1)</f>
        <v>0.0</v>
      </c>
      <c r="AI82">
        <f t="shared" si="15" ref="AI82:AI84">AH82-250000</f>
        <v>-250000.0</v>
      </c>
      <c r="AJ82">
        <f t="shared" si="16" ref="AJ82:AJ85">IF(AI82&gt;250000,250000,AI82)</f>
        <v>-250000.0</v>
      </c>
      <c r="AK82">
        <f t="shared" si="17" ref="AK82:AK85">AH82-500000</f>
        <v>-500000.0</v>
      </c>
      <c r="AL82">
        <f t="shared" si="18" ref="AL82:AL85">IF(AK82&gt;500000,500000,AK82)</f>
        <v>-500000.0</v>
      </c>
      <c r="AM82">
        <f t="shared" si="19" ref="AM82:AM85">AH82-1000000</f>
        <v>-1000000.0</v>
      </c>
      <c r="AN82">
        <f t="shared" si="20" ref="AN82:AN85">IF(AM82&gt;1000000,1000000,AM82)</f>
        <v>-1000000.0</v>
      </c>
      <c r="AO82">
        <f>IF(AJ82&gt;0,AJ82,0)*$AO$72</f>
        <v>0.0</v>
      </c>
      <c r="AP82">
        <f t="shared" si="21" ref="AP82:AP85">IF(AL82&gt;0,AL82,0)*$AP$73</f>
        <v>0.0</v>
      </c>
      <c r="AQ82">
        <f t="shared" si="22" ref="AQ82:AQ85">IF(AN82&gt;0,AN82,0)*$AQ$73</f>
        <v>0.0</v>
      </c>
      <c r="AR82">
        <f t="shared" si="23" ref="AR82:AR85">AO82+AP82+AQ82</f>
        <v>0.0</v>
      </c>
      <c r="AS82">
        <f>IF(AH82&gt;350000,0,2500)</f>
        <v>2500.0</v>
      </c>
      <c r="AT82">
        <f t="shared" si="24" ref="AT82:AT85">AR82-AS82</f>
        <v>-2500.0</v>
      </c>
      <c r="AU82">
        <f>ROUND(AT82*$AU$72,0)</f>
        <v>-100.0</v>
      </c>
      <c r="AV82">
        <f t="shared" si="25" ref="AV82:AV85">ROUND(AT82+AU82,0)</f>
        <v>-2600.0</v>
      </c>
    </row>
    <row r="83" spans="8:8">
      <c r="AG83" t="str">
        <f t="shared" si="14"/>
        <v>2017-18</v>
      </c>
      <c r="AH83">
        <f>ROUND(L76,-1)</f>
        <v>0.0</v>
      </c>
      <c r="AI83">
        <f t="shared" si="15"/>
        <v>-250000.0</v>
      </c>
      <c r="AJ83">
        <f t="shared" si="16"/>
        <v>-250000.0</v>
      </c>
      <c r="AK83">
        <f t="shared" si="17"/>
        <v>-500000.0</v>
      </c>
      <c r="AL83">
        <f t="shared" si="18"/>
        <v>-500000.0</v>
      </c>
      <c r="AM83">
        <f t="shared" si="19"/>
        <v>-1000000.0</v>
      </c>
      <c r="AN83">
        <f t="shared" si="20"/>
        <v>-1000000.0</v>
      </c>
      <c r="AO83">
        <f t="shared" si="26" ref="AO83:AO85">IF(AJ83&gt;0,AJ83,0)*$AO$73</f>
        <v>0.0</v>
      </c>
      <c r="AP83">
        <f t="shared" si="21"/>
        <v>0.0</v>
      </c>
      <c r="AQ83">
        <f t="shared" si="22"/>
        <v>0.0</v>
      </c>
      <c r="AR83">
        <f t="shared" si="23"/>
        <v>0.0</v>
      </c>
      <c r="AS83">
        <f>IF(AH83&gt;500000,0,5000)</f>
        <v>5000.0</v>
      </c>
      <c r="AT83">
        <f t="shared" si="24"/>
        <v>-5000.0</v>
      </c>
      <c r="AU83">
        <f t="shared" si="27" ref="AU83:AU85">ROUND(AT83*$AU$73,0)</f>
        <v>-150.0</v>
      </c>
      <c r="AV83">
        <f t="shared" si="25"/>
        <v>-5150.0</v>
      </c>
    </row>
    <row r="84" spans="8:8">
      <c r="AG84" t="str">
        <f t="shared" si="14"/>
        <v>2016-17</v>
      </c>
      <c r="AH84">
        <f>ROUND(L77,-1)</f>
        <v>0.0</v>
      </c>
      <c r="AI84">
        <f t="shared" si="15"/>
        <v>-250000.0</v>
      </c>
      <c r="AJ84">
        <f t="shared" si="16"/>
        <v>-250000.0</v>
      </c>
      <c r="AK84">
        <f t="shared" si="17"/>
        <v>-500000.0</v>
      </c>
      <c r="AL84">
        <f t="shared" si="18"/>
        <v>-500000.0</v>
      </c>
      <c r="AM84">
        <f t="shared" si="19"/>
        <v>-1000000.0</v>
      </c>
      <c r="AN84">
        <f t="shared" si="20"/>
        <v>-1000000.0</v>
      </c>
      <c r="AO84">
        <f t="shared" si="26"/>
        <v>0.0</v>
      </c>
      <c r="AP84">
        <f t="shared" si="21"/>
        <v>0.0</v>
      </c>
      <c r="AQ84">
        <f t="shared" si="22"/>
        <v>0.0</v>
      </c>
      <c r="AR84">
        <f t="shared" si="23"/>
        <v>0.0</v>
      </c>
      <c r="AS84">
        <f>IF(AH84&gt;500000,0,2000)</f>
        <v>2000.0</v>
      </c>
      <c r="AT84">
        <f t="shared" si="24"/>
        <v>-2000.0</v>
      </c>
      <c r="AU84">
        <f t="shared" si="27"/>
        <v>-60.0</v>
      </c>
      <c r="AV84">
        <f t="shared" si="25"/>
        <v>-2060.0</v>
      </c>
    </row>
    <row r="85" spans="8:8">
      <c r="AG85" t="str">
        <f t="shared" si="14"/>
        <v>2015-16</v>
      </c>
      <c r="AH85">
        <f>ROUND(L78,-1)</f>
        <v>0.0</v>
      </c>
      <c r="AI85">
        <f>AH85-200000</f>
        <v>-200000.0</v>
      </c>
      <c r="AJ85">
        <f t="shared" si="16"/>
        <v>-200000.0</v>
      </c>
      <c r="AK85">
        <f t="shared" si="17"/>
        <v>-500000.0</v>
      </c>
      <c r="AL85">
        <f t="shared" si="18"/>
        <v>-500000.0</v>
      </c>
      <c r="AM85">
        <f t="shared" si="19"/>
        <v>-1000000.0</v>
      </c>
      <c r="AN85">
        <f t="shared" si="20"/>
        <v>-1000000.0</v>
      </c>
      <c r="AO85">
        <f t="shared" si="26"/>
        <v>0.0</v>
      </c>
      <c r="AP85">
        <f t="shared" si="21"/>
        <v>0.0</v>
      </c>
      <c r="AQ85">
        <f t="shared" si="22"/>
        <v>0.0</v>
      </c>
      <c r="AR85">
        <f t="shared" si="23"/>
        <v>0.0</v>
      </c>
      <c r="AS85">
        <f>IF(AH85&gt;500000,0,2000)</f>
        <v>2000.0</v>
      </c>
      <c r="AT85">
        <f t="shared" si="24"/>
        <v>-2000.0</v>
      </c>
      <c r="AU85">
        <f t="shared" si="27"/>
        <v>-60.0</v>
      </c>
      <c r="AV85">
        <f t="shared" si="25"/>
        <v>-2060.0</v>
      </c>
    </row>
  </sheetData>
  <sheetProtection sheet="0" selectLockedCells="1"/>
  <mergeCells count="160">
    <mergeCell ref="A79:C79"/>
    <mergeCell ref="V65:Y65"/>
    <mergeCell ref="AM73:AN73"/>
    <mergeCell ref="D18:T20"/>
    <mergeCell ref="A3:AF3"/>
    <mergeCell ref="Z64:AD64"/>
    <mergeCell ref="D74:G74"/>
    <mergeCell ref="L70:Q70"/>
    <mergeCell ref="Z72:AD72"/>
    <mergeCell ref="L65:Q65"/>
    <mergeCell ref="C59:R60"/>
    <mergeCell ref="D67:G67"/>
    <mergeCell ref="U50:AE50"/>
    <mergeCell ref="Z65:AD65"/>
    <mergeCell ref="R79:U79"/>
    <mergeCell ref="A67:C67"/>
    <mergeCell ref="V77:Y77"/>
    <mergeCell ref="Z75:AD75"/>
    <mergeCell ref="C55:R56"/>
    <mergeCell ref="C48:R49"/>
    <mergeCell ref="U54:AE54"/>
    <mergeCell ref="D78:G78"/>
    <mergeCell ref="A70:C70"/>
    <mergeCell ref="C35:O35"/>
    <mergeCell ref="E5:H5"/>
    <mergeCell ref="V18:AE18"/>
    <mergeCell ref="Z66:AD66"/>
    <mergeCell ref="H74:K74"/>
    <mergeCell ref="A64:C64"/>
    <mergeCell ref="AK73:AL73"/>
    <mergeCell ref="V76:Y76"/>
    <mergeCell ref="Z68:AD68"/>
    <mergeCell ref="A2:AF2"/>
    <mergeCell ref="V16:AE16"/>
    <mergeCell ref="A4:AF4"/>
    <mergeCell ref="A6:AF6"/>
    <mergeCell ref="N10:T10"/>
    <mergeCell ref="N11:T11"/>
    <mergeCell ref="D14:G14"/>
    <mergeCell ref="A7:AF7"/>
    <mergeCell ref="L75:Q75"/>
    <mergeCell ref="R67:U67"/>
    <mergeCell ref="V71:Y71"/>
    <mergeCell ref="D70:G70"/>
    <mergeCell ref="A77:C77"/>
    <mergeCell ref="U55:AE55"/>
    <mergeCell ref="H78:K78"/>
    <mergeCell ref="H70:K70"/>
    <mergeCell ref="A69:C69"/>
    <mergeCell ref="A66:C66"/>
    <mergeCell ref="U53:AE53"/>
    <mergeCell ref="AK47:AL47"/>
    <mergeCell ref="L66:Q66"/>
    <mergeCell ref="V79:Y79"/>
    <mergeCell ref="A78:C78"/>
    <mergeCell ref="B63:AE63"/>
    <mergeCell ref="Z79:AD79"/>
    <mergeCell ref="L68:Q68"/>
    <mergeCell ref="C51:R52"/>
    <mergeCell ref="V72:Y72"/>
    <mergeCell ref="H38:K38"/>
    <mergeCell ref="A68:C68"/>
    <mergeCell ref="R66:U66"/>
    <mergeCell ref="D71:G71"/>
    <mergeCell ref="H65:K65"/>
    <mergeCell ref="AI73:AJ73"/>
    <mergeCell ref="A65:C65"/>
    <mergeCell ref="R64:U64"/>
    <mergeCell ref="D79:G79"/>
    <mergeCell ref="V66:Y66"/>
    <mergeCell ref="L78:Q78"/>
    <mergeCell ref="H72:K72"/>
    <mergeCell ref="D64:G64"/>
    <mergeCell ref="Z71:AD71"/>
    <mergeCell ref="U48:AE48"/>
    <mergeCell ref="D65:G65"/>
    <mergeCell ref="Z70:AD70"/>
    <mergeCell ref="L76:Q76"/>
    <mergeCell ref="A72:C72"/>
    <mergeCell ref="R69:U69"/>
    <mergeCell ref="U59:AE59"/>
    <mergeCell ref="U51:AE51"/>
    <mergeCell ref="AI47:AJ47"/>
    <mergeCell ref="Z76:AD76"/>
    <mergeCell ref="H67:K67"/>
    <mergeCell ref="R74:U74"/>
    <mergeCell ref="H71:K71"/>
    <mergeCell ref="V69:Y69"/>
    <mergeCell ref="B46:AE46"/>
    <mergeCell ref="B44:AE44"/>
    <mergeCell ref="Z74:AD74"/>
    <mergeCell ref="C57:R58"/>
    <mergeCell ref="R77:U77"/>
    <mergeCell ref="R65:U65"/>
    <mergeCell ref="D76:G76"/>
    <mergeCell ref="H66:K66"/>
    <mergeCell ref="B51:B52"/>
    <mergeCell ref="Z73:AD73"/>
    <mergeCell ref="L79:Q79"/>
    <mergeCell ref="D21:T26"/>
    <mergeCell ref="V68:Y68"/>
    <mergeCell ref="D72:G72"/>
    <mergeCell ref="A76:C76"/>
    <mergeCell ref="H69:K69"/>
    <mergeCell ref="L72:Q72"/>
    <mergeCell ref="R70:U70"/>
    <mergeCell ref="H73:K73"/>
    <mergeCell ref="R72:U72"/>
    <mergeCell ref="D42:I42"/>
    <mergeCell ref="V78:Y78"/>
    <mergeCell ref="U57:AE57"/>
    <mergeCell ref="D41:K41"/>
    <mergeCell ref="L69:Q69"/>
    <mergeCell ref="A74:C74"/>
    <mergeCell ref="R75:U75"/>
    <mergeCell ref="L74:Q74"/>
    <mergeCell ref="L73:Q73"/>
    <mergeCell ref="Z69:AD69"/>
    <mergeCell ref="R68:U68"/>
    <mergeCell ref="D75:G75"/>
    <mergeCell ref="V75:Y75"/>
    <mergeCell ref="V67:Y67"/>
    <mergeCell ref="H64:K64"/>
    <mergeCell ref="B33:AE33"/>
    <mergeCell ref="Z67:AD67"/>
    <mergeCell ref="H75:K75"/>
    <mergeCell ref="D73:G73"/>
    <mergeCell ref="V21:AE21"/>
    <mergeCell ref="N9:AE9"/>
    <mergeCell ref="V64:Y64"/>
    <mergeCell ref="H68:K68"/>
    <mergeCell ref="R73:U73"/>
    <mergeCell ref="D68:G68"/>
    <mergeCell ref="D69:G69"/>
    <mergeCell ref="L64:Q64"/>
    <mergeCell ref="V73:Y73"/>
    <mergeCell ref="R76:U76"/>
    <mergeCell ref="D16:S17"/>
    <mergeCell ref="A75:C75"/>
    <mergeCell ref="R71:U71"/>
    <mergeCell ref="Z78:AD78"/>
    <mergeCell ref="L67:Q67"/>
    <mergeCell ref="A71:C71"/>
    <mergeCell ref="B62:AE62"/>
    <mergeCell ref="A73:C73"/>
    <mergeCell ref="B45:AE45"/>
    <mergeCell ref="AM47:AN47"/>
    <mergeCell ref="Z77:AD77"/>
    <mergeCell ref="N38:U38"/>
    <mergeCell ref="H77:K77"/>
    <mergeCell ref="R78:U78"/>
    <mergeCell ref="L77:Q77"/>
    <mergeCell ref="H76:K76"/>
    <mergeCell ref="V27:AE27"/>
    <mergeCell ref="D66:G66"/>
    <mergeCell ref="V74:Y74"/>
    <mergeCell ref="H79:K79"/>
    <mergeCell ref="D77:G77"/>
    <mergeCell ref="V70:Y70"/>
    <mergeCell ref="L71:Q71"/>
  </mergeCells>
  <conditionalFormatting sqref="AG74:AG85 AG72:AV73 AH74:AH79 AI74:AV78 AH80:AV85">
    <cfRule type="expression" priority="5" dxfId="14">
      <formula>$A$1=0</formula>
    </cfRule>
  </conditionalFormatting>
  <conditionalFormatting sqref="AG46:AW60 AG86 AF72:AF79">
    <cfRule type="expression" priority="9" dxfId="15">
      <formula>$A$1=0</formula>
    </cfRule>
  </conditionalFormatting>
  <conditionalFormatting sqref="AU72">
    <cfRule type="expression" priority="4" dxfId="16">
      <formula>$A$1=0</formula>
    </cfRule>
  </conditionalFormatting>
  <pageMargins left="0.7" right="0.7" top="0.75" bottom="0.75" header="0.3" footer="0.3"/>
  <pageSetup paperSize="9" scale="90"/>
  <headerFooter>
    <oddFooter>&amp;CSTUAP, KADAPA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tabColor rgb="FF7030A0"/>
  </sheetPr>
  <dimension ref="A1:AD42"/>
  <sheetViews>
    <sheetView workbookViewId="0" showGridLines="0" showRowColHeaders="0">
      <selection activeCell="E11" sqref="E11:I11"/>
    </sheetView>
  </sheetViews>
  <sheetFormatPr defaultRowHeight="15.0" defaultColWidth="10"/>
  <cols>
    <col min="1" max="1" customWidth="1" width="4.2851562" style="0"/>
    <col min="2" max="2" customWidth="1" width="4.0" style="0"/>
    <col min="3" max="3" customWidth="1" width="1.7109375" style="0"/>
    <col min="4" max="4" customWidth="1" width="5.0" style="0"/>
    <col min="5" max="5" customWidth="1" width="5.4257812" style="0"/>
    <col min="8" max="8" customWidth="1" width="1.5703125" style="0"/>
    <col min="9" max="9" customWidth="1" width="8.140625" style="0"/>
    <col min="11" max="11" customWidth="1" width="4.0" style="0"/>
    <col min="12" max="12" customWidth="1" width="4.7109375" style="0"/>
    <col min="13" max="13" customWidth="1" width="4.2851562" style="0"/>
    <col min="14" max="14" customWidth="1" width="4.140625" style="0"/>
    <col min="15" max="16" customWidth="1" width="3.2851562" style="0"/>
    <col min="17" max="17" customWidth="1" width="4.140625" style="0"/>
    <col min="18" max="19" customWidth="1" width="3.4257812" style="0"/>
    <col min="20" max="20" customWidth="1" width="4.7109375" style="0"/>
    <col min="21" max="21" customWidth="1" width="4.2851562" style="0"/>
    <col min="22" max="22" customWidth="1" width="4.0" style="0"/>
    <col min="23" max="23" customWidth="1" width="3.5703125" style="0"/>
    <col min="24" max="24" customWidth="1" width="5.140625" style="0"/>
    <col min="25" max="25" customWidth="1" width="4.0" style="0"/>
  </cols>
  <sheetData>
    <row r="1" spans="8:8">
      <c r="A1" s="892"/>
      <c r="B1" s="892"/>
      <c r="C1" s="892"/>
      <c r="D1" s="892"/>
      <c r="E1" s="892"/>
      <c r="F1" s="892"/>
      <c r="G1" s="892"/>
      <c r="H1" s="892"/>
      <c r="I1" s="892"/>
      <c r="J1" s="892"/>
      <c r="K1" s="892"/>
      <c r="L1" s="892"/>
      <c r="M1" s="892"/>
      <c r="N1" s="892"/>
      <c r="O1" s="892"/>
      <c r="P1" s="892"/>
      <c r="Q1" s="892"/>
      <c r="R1" s="892"/>
      <c r="S1" s="892"/>
      <c r="T1" s="892"/>
      <c r="U1" s="892"/>
      <c r="V1" s="892"/>
      <c r="W1" s="892"/>
      <c r="X1" s="892"/>
      <c r="Y1" s="892"/>
      <c r="Z1" s="892"/>
      <c r="AA1" s="892"/>
    </row>
    <row r="2" spans="8:8" ht="15.75">
      <c r="A2" s="892"/>
      <c r="B2" s="892"/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892"/>
      <c r="O2" s="892"/>
      <c r="P2" s="892"/>
      <c r="Q2" s="892"/>
      <c r="R2" s="892"/>
      <c r="S2" s="892"/>
      <c r="T2" s="892"/>
      <c r="U2" s="892"/>
      <c r="V2" s="892"/>
      <c r="W2" s="892"/>
      <c r="X2" s="892"/>
      <c r="Y2" s="892"/>
      <c r="Z2" s="892"/>
      <c r="AA2" s="892"/>
    </row>
    <row r="3" spans="8:8" ht="15.75">
      <c r="A3" s="892"/>
      <c r="B3" s="892"/>
      <c r="C3" s="893"/>
      <c r="D3" s="894"/>
      <c r="E3" s="894"/>
      <c r="F3" s="894"/>
      <c r="G3" s="895"/>
      <c r="H3" s="895"/>
      <c r="I3" s="895"/>
      <c r="J3" s="895"/>
      <c r="K3" s="895"/>
      <c r="L3" s="895"/>
      <c r="M3" s="895"/>
      <c r="N3" s="895"/>
      <c r="O3" s="895"/>
      <c r="P3" s="895"/>
      <c r="Q3" s="895"/>
      <c r="R3" s="895"/>
      <c r="S3" s="895"/>
      <c r="T3" s="895"/>
      <c r="U3" s="895"/>
      <c r="V3" s="895"/>
      <c r="W3" s="895"/>
      <c r="X3" s="895"/>
      <c r="Y3" s="896"/>
      <c r="Z3" s="892"/>
      <c r="AA3" s="892"/>
    </row>
    <row r="4" spans="8:8" ht="18.75">
      <c r="A4" s="892"/>
      <c r="B4" s="892"/>
      <c r="C4" s="897" t="s">
        <v>232</v>
      </c>
      <c r="D4" s="89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9"/>
      <c r="Z4" s="892"/>
      <c r="AA4" s="892"/>
    </row>
    <row r="5" spans="8:8" ht="15.75">
      <c r="A5" s="892"/>
      <c r="B5" s="892"/>
      <c r="C5" s="900" t="s">
        <v>275</v>
      </c>
      <c r="D5" s="901"/>
      <c r="E5" s="901"/>
      <c r="F5" s="901"/>
      <c r="G5" s="901"/>
      <c r="H5" s="901"/>
      <c r="I5" s="901"/>
      <c r="J5" s="901"/>
      <c r="K5" s="901"/>
      <c r="L5" s="901"/>
      <c r="M5" s="901"/>
      <c r="N5" s="901"/>
      <c r="O5" s="901"/>
      <c r="P5" s="901"/>
      <c r="Q5" s="901"/>
      <c r="R5" s="901"/>
      <c r="S5" s="901"/>
      <c r="T5" s="901"/>
      <c r="U5" s="901"/>
      <c r="V5" s="901"/>
      <c r="W5" s="901"/>
      <c r="X5" s="901"/>
      <c r="Y5" s="902"/>
      <c r="Z5" s="892"/>
      <c r="AA5" s="892"/>
    </row>
    <row r="6" spans="8:8" ht="15.75">
      <c r="A6" s="892"/>
      <c r="B6" s="892"/>
      <c r="C6" s="903"/>
      <c r="D6" s="904"/>
      <c r="E6" s="905"/>
      <c r="F6" s="904"/>
      <c r="G6" s="904"/>
      <c r="H6" s="904"/>
      <c r="I6" s="904"/>
      <c r="J6" s="904"/>
      <c r="K6" s="904"/>
      <c r="L6" s="904"/>
      <c r="M6" s="904"/>
      <c r="N6" s="904"/>
      <c r="O6" s="904"/>
      <c r="P6" s="904"/>
      <c r="Q6" s="904"/>
      <c r="R6" s="904"/>
      <c r="S6" s="904"/>
      <c r="T6" s="904"/>
      <c r="U6" s="904"/>
      <c r="V6" s="904"/>
      <c r="W6" s="904"/>
      <c r="X6" s="904"/>
      <c r="Y6" s="906"/>
      <c r="Z6" s="892"/>
      <c r="AA6" s="892"/>
    </row>
    <row r="7" spans="8:8" ht="20.1" customHeight="1">
      <c r="A7" s="892"/>
      <c r="B7" s="892"/>
      <c r="C7" s="907"/>
      <c r="D7" s="908"/>
      <c r="E7" s="909"/>
      <c r="F7" s="909"/>
      <c r="G7" s="909"/>
      <c r="H7" s="909"/>
      <c r="I7" s="910" t="str">
        <f>"                             Received a sum of   (House Rent"&amp;" "&amp;"12"&amp;" "&amp;"months amount)"</f>
        <v>                             Received a sum of   (House Rent 12 months amount)</v>
      </c>
      <c r="J7" s="910"/>
      <c r="K7" s="910"/>
      <c r="L7" s="910"/>
      <c r="M7" s="910"/>
      <c r="N7" s="910"/>
      <c r="O7" s="910"/>
      <c r="P7" s="910"/>
      <c r="Q7" s="910"/>
      <c r="R7" s="910"/>
      <c r="S7" s="910"/>
      <c r="T7" s="910"/>
      <c r="U7" s="910"/>
      <c r="V7" s="910"/>
      <c r="W7" s="910"/>
      <c r="X7" s="904"/>
      <c r="Y7" s="906"/>
      <c r="Z7" s="892"/>
      <c r="AA7" s="892"/>
    </row>
    <row r="8" spans="8:8" ht="20.1" customHeight="1">
      <c r="A8" s="892"/>
      <c r="B8" s="892"/>
      <c r="C8" s="907"/>
      <c r="D8" s="908"/>
      <c r="E8" s="908" t="s">
        <v>276</v>
      </c>
      <c r="F8" s="911"/>
      <c r="G8" s="912" t="str">
        <f>Data!D4</f>
        <v>P. Pothan Prasad</v>
      </c>
      <c r="H8" s="912"/>
      <c r="I8" s="912"/>
      <c r="J8" s="912"/>
      <c r="K8" s="912"/>
      <c r="L8" s="912"/>
      <c r="M8" s="912"/>
      <c r="N8" s="912"/>
      <c r="O8" s="912"/>
      <c r="P8" s="912"/>
      <c r="Q8" s="908" t="s">
        <v>277</v>
      </c>
      <c r="R8" s="913"/>
      <c r="S8" s="904"/>
      <c r="T8" s="914" t="s">
        <v>90</v>
      </c>
      <c r="U8" s="915">
        <f>Data!L9*12</f>
        <v>84000.0</v>
      </c>
      <c r="V8" s="915"/>
      <c r="W8" s="915"/>
      <c r="X8" s="916"/>
      <c r="Y8" s="917"/>
      <c r="Z8" s="892"/>
      <c r="AA8" s="892"/>
    </row>
    <row r="9" spans="8:8" ht="20.1" customHeight="1">
      <c r="A9" s="892"/>
      <c r="B9" s="892"/>
      <c r="C9" s="907"/>
      <c r="D9" s="908"/>
      <c r="E9" s="909" t="s">
        <v>278</v>
      </c>
      <c r="F9" s="909"/>
      <c r="G9" s="909"/>
      <c r="H9" s="918"/>
      <c r="I9" s="919" t="str">
        <f>Sheet4!B107</f>
        <v>Rupees  Eighty Four Thousand   Only</v>
      </c>
      <c r="J9" s="919"/>
      <c r="K9" s="919"/>
      <c r="L9" s="919"/>
      <c r="M9" s="919"/>
      <c r="N9" s="919"/>
      <c r="O9" s="919"/>
      <c r="P9" s="919"/>
      <c r="Q9" s="919"/>
      <c r="R9" s="919"/>
      <c r="S9" s="919"/>
      <c r="T9" s="919"/>
      <c r="U9" s="919"/>
      <c r="V9" s="919"/>
      <c r="W9" s="919"/>
      <c r="X9" s="919"/>
      <c r="Y9" s="920"/>
      <c r="Z9" s="892"/>
      <c r="AA9" s="892"/>
    </row>
    <row r="10" spans="8:8" ht="20.1" customHeight="1">
      <c r="A10" s="892"/>
      <c r="B10" s="892"/>
      <c r="C10" s="907"/>
      <c r="D10" s="908"/>
      <c r="E10" s="908" t="s">
        <v>279</v>
      </c>
      <c r="F10" s="908"/>
      <c r="G10" s="908"/>
      <c r="H10" s="921"/>
      <c r="I10" s="921"/>
      <c r="J10" s="922">
        <f>Data!L9</f>
        <v>7000.0</v>
      </c>
      <c r="K10" s="922"/>
      <c r="L10" s="922"/>
      <c r="M10" s="923"/>
      <c r="N10" s="908" t="s">
        <v>280</v>
      </c>
      <c r="O10" s="908"/>
      <c r="P10" s="908"/>
      <c r="Q10" s="924" t="s">
        <v>281</v>
      </c>
      <c r="R10" s="924"/>
      <c r="S10" s="924"/>
      <c r="T10" s="909"/>
      <c r="U10" s="924"/>
      <c r="V10" s="924"/>
      <c r="W10" s="925" t="s">
        <v>683</v>
      </c>
      <c r="X10" s="926"/>
      <c r="Y10" s="927"/>
      <c r="Z10" s="892"/>
      <c r="AA10" s="892"/>
    </row>
    <row r="11" spans="8:8" ht="20.1" customHeight="1">
      <c r="A11" s="892"/>
      <c r="B11" s="892"/>
      <c r="C11" s="907"/>
      <c r="D11" s="908"/>
      <c r="E11" s="928" t="s">
        <v>282</v>
      </c>
      <c r="F11" s="928"/>
      <c r="G11" s="928"/>
      <c r="H11" s="928"/>
      <c r="I11" s="928"/>
      <c r="J11" s="904"/>
      <c r="K11" s="904"/>
      <c r="L11" s="904"/>
      <c r="M11" s="904"/>
      <c r="N11" s="929"/>
      <c r="O11" s="929"/>
      <c r="P11" s="929"/>
      <c r="Q11" s="929"/>
      <c r="R11" s="929"/>
      <c r="S11" s="929"/>
      <c r="T11" s="929"/>
      <c r="U11" s="929"/>
      <c r="V11" s="929"/>
      <c r="W11" s="929"/>
      <c r="X11" s="929"/>
      <c r="Y11" s="930"/>
      <c r="Z11" s="892"/>
      <c r="AA11" s="892"/>
    </row>
    <row r="12" spans="8:8" ht="21.0" customHeight="1">
      <c r="A12" s="892"/>
      <c r="B12" s="892"/>
      <c r="C12" s="907"/>
      <c r="D12" s="908"/>
      <c r="E12" s="908"/>
      <c r="F12" s="908"/>
      <c r="G12" s="908"/>
      <c r="H12" s="908"/>
      <c r="I12" s="908"/>
      <c r="J12" s="929"/>
      <c r="K12" s="929"/>
      <c r="L12" s="929"/>
      <c r="M12" s="929"/>
      <c r="N12" s="931"/>
      <c r="O12" s="931"/>
      <c r="P12" s="931"/>
      <c r="Q12" s="931"/>
      <c r="R12" s="931"/>
      <c r="S12" s="931"/>
      <c r="T12" s="931"/>
      <c r="U12" s="931"/>
      <c r="V12" s="931"/>
      <c r="W12" s="931"/>
      <c r="X12" s="908"/>
      <c r="Y12" s="932"/>
      <c r="Z12" s="892"/>
      <c r="AA12" s="892"/>
    </row>
    <row r="13" spans="8:8" ht="19.5" customHeight="1">
      <c r="A13" s="892"/>
      <c r="B13" s="892"/>
      <c r="C13" s="933"/>
      <c r="D13" s="934"/>
      <c r="E13" s="935" t="s">
        <v>283</v>
      </c>
      <c r="F13" s="934"/>
      <c r="G13" s="934"/>
      <c r="H13" s="934"/>
      <c r="I13" s="934"/>
      <c r="J13" s="934"/>
      <c r="K13" s="934"/>
      <c r="L13" s="934"/>
      <c r="M13" s="934"/>
      <c r="N13" s="934"/>
      <c r="O13" s="934"/>
      <c r="P13" s="934"/>
      <c r="Q13" s="936" t="s">
        <v>533</v>
      </c>
      <c r="R13" s="936"/>
      <c r="S13" s="936"/>
      <c r="T13" s="936"/>
      <c r="U13" s="936"/>
      <c r="V13" s="936"/>
      <c r="W13" s="936"/>
      <c r="X13" s="936"/>
      <c r="Y13" s="932"/>
      <c r="Z13" s="892"/>
      <c r="AA13" s="892"/>
    </row>
    <row r="14" spans="8:8" ht="20.1" customHeight="1">
      <c r="A14" s="892"/>
      <c r="B14" s="892"/>
      <c r="C14" s="933"/>
      <c r="D14" s="934"/>
      <c r="E14" s="937"/>
      <c r="F14" s="937"/>
      <c r="G14" s="937"/>
      <c r="H14" s="937"/>
      <c r="I14" s="937"/>
      <c r="J14" s="937"/>
      <c r="K14" s="937"/>
      <c r="L14" s="937"/>
      <c r="M14" s="937"/>
      <c r="N14" s="934"/>
      <c r="O14" s="934"/>
      <c r="P14" s="934"/>
      <c r="Q14" s="934"/>
      <c r="R14" s="934"/>
      <c r="S14" s="938"/>
      <c r="T14" s="939"/>
      <c r="U14" s="940"/>
      <c r="V14" s="934"/>
      <c r="W14" s="934"/>
      <c r="X14" s="934"/>
      <c r="Y14" s="932"/>
      <c r="Z14" s="892"/>
      <c r="AA14" s="892"/>
    </row>
    <row r="15" spans="8:8" ht="15.0" customHeight="1">
      <c r="A15" s="892"/>
      <c r="B15" s="892"/>
      <c r="C15" s="933"/>
      <c r="D15" s="934"/>
      <c r="E15" s="941"/>
      <c r="F15" s="941"/>
      <c r="G15" s="941"/>
      <c r="H15" s="941"/>
      <c r="I15" s="941"/>
      <c r="J15" s="941"/>
      <c r="K15" s="941"/>
      <c r="L15" s="941"/>
      <c r="M15" s="941"/>
      <c r="N15" s="934"/>
      <c r="O15" s="934"/>
      <c r="P15" s="934"/>
      <c r="Q15" s="934"/>
      <c r="R15" s="934"/>
      <c r="S15" s="942"/>
      <c r="T15" s="943"/>
      <c r="U15" s="944"/>
      <c r="V15" s="934"/>
      <c r="W15" s="934"/>
      <c r="X15" s="934"/>
      <c r="Y15" s="932"/>
      <c r="Z15" s="892"/>
      <c r="AA15" s="892"/>
    </row>
    <row r="16" spans="8:8" ht="15.0" customHeight="1">
      <c r="A16" s="892"/>
      <c r="B16" s="892"/>
      <c r="C16" s="933"/>
      <c r="D16" s="934"/>
      <c r="E16" s="941"/>
      <c r="F16" s="941"/>
      <c r="G16" s="941"/>
      <c r="H16" s="941"/>
      <c r="I16" s="941"/>
      <c r="J16" s="941"/>
      <c r="K16" s="941"/>
      <c r="L16" s="941"/>
      <c r="M16" s="941"/>
      <c r="N16" s="934"/>
      <c r="O16" s="934"/>
      <c r="P16" s="934"/>
      <c r="Q16" s="934"/>
      <c r="R16" s="934"/>
      <c r="S16" s="945"/>
      <c r="T16" s="946"/>
      <c r="U16" s="947"/>
      <c r="V16" s="934"/>
      <c r="W16" s="934"/>
      <c r="X16" s="934"/>
      <c r="Y16" s="932"/>
      <c r="Z16" s="892"/>
      <c r="AA16" s="892"/>
    </row>
    <row r="17" spans="8:8" ht="15.0" customHeight="1">
      <c r="A17" s="892"/>
      <c r="B17" s="892"/>
      <c r="C17" s="933"/>
      <c r="D17" s="934"/>
      <c r="E17" s="948"/>
      <c r="F17" s="934"/>
      <c r="G17" s="934"/>
      <c r="H17" s="934"/>
      <c r="I17" s="934"/>
      <c r="J17" s="934"/>
      <c r="K17" s="934"/>
      <c r="L17" s="934"/>
      <c r="M17" s="934"/>
      <c r="N17" s="934"/>
      <c r="O17" s="934"/>
      <c r="P17" s="934"/>
      <c r="Q17" s="934"/>
      <c r="R17" s="934"/>
      <c r="S17" s="934"/>
      <c r="T17" s="934"/>
      <c r="U17" s="934"/>
      <c r="V17" s="934"/>
      <c r="W17" s="934"/>
      <c r="X17" s="934"/>
      <c r="Y17" s="932"/>
      <c r="Z17" s="892"/>
      <c r="AA17" s="892"/>
    </row>
    <row r="18" spans="8:8" ht="15.0" customHeight="1">
      <c r="A18" s="892"/>
      <c r="B18" s="892"/>
      <c r="C18" s="933"/>
      <c r="D18" s="934"/>
      <c r="E18" s="949" t="str">
        <f>IF(U8&gt;99999,"House owner PAN Card No:"," ")</f>
        <v> </v>
      </c>
      <c r="F18" s="892"/>
      <c r="G18" s="892"/>
      <c r="H18" s="934"/>
      <c r="I18" s="934"/>
      <c r="J18" s="934"/>
      <c r="K18" s="934"/>
      <c r="L18" s="934"/>
      <c r="M18" s="934"/>
      <c r="N18" s="934"/>
      <c r="O18" s="934"/>
      <c r="P18" s="934"/>
      <c r="Q18" s="936" t="s">
        <v>532</v>
      </c>
      <c r="R18" s="936"/>
      <c r="S18" s="936"/>
      <c r="T18" s="936"/>
      <c r="U18" s="936"/>
      <c r="V18" s="936"/>
      <c r="W18" s="936"/>
      <c r="X18" s="936"/>
      <c r="Y18" s="932"/>
      <c r="Z18" s="892"/>
      <c r="AA18" s="892"/>
    </row>
    <row r="19" spans="8:8" ht="15.0" customHeight="1">
      <c r="A19" s="892"/>
      <c r="B19" s="892"/>
      <c r="C19" s="933"/>
      <c r="D19" s="934"/>
      <c r="E19" s="934"/>
      <c r="F19" s="934"/>
      <c r="G19" s="904"/>
      <c r="H19" s="934"/>
      <c r="I19" s="934"/>
      <c r="J19" s="934"/>
      <c r="K19" s="934"/>
      <c r="L19" s="934"/>
      <c r="M19" s="934"/>
      <c r="N19" s="934"/>
      <c r="O19" s="934"/>
      <c r="P19" s="934"/>
      <c r="Q19" s="950"/>
      <c r="R19" s="950"/>
      <c r="S19" s="950"/>
      <c r="T19" s="950"/>
      <c r="U19" s="950"/>
      <c r="V19" s="950"/>
      <c r="W19" s="950"/>
      <c r="X19" s="950"/>
      <c r="Y19" s="932"/>
      <c r="Z19" s="892"/>
      <c r="AA19" s="892"/>
    </row>
    <row r="20" spans="8:8">
      <c r="A20" s="892"/>
      <c r="B20" s="892"/>
      <c r="C20" s="933"/>
      <c r="D20" s="934"/>
      <c r="E20" s="934" t="s">
        <v>284</v>
      </c>
      <c r="F20" s="934"/>
      <c r="G20" s="904"/>
      <c r="H20" s="934"/>
      <c r="I20" s="934"/>
      <c r="J20" s="934"/>
      <c r="K20" s="934"/>
      <c r="L20" s="934"/>
      <c r="M20" s="934"/>
      <c r="N20" s="934"/>
      <c r="O20" s="934"/>
      <c r="P20" s="934"/>
      <c r="Q20" s="950"/>
      <c r="R20" s="950"/>
      <c r="S20" s="950"/>
      <c r="T20" s="950"/>
      <c r="U20" s="950"/>
      <c r="V20" s="950"/>
      <c r="W20" s="950"/>
      <c r="X20" s="950"/>
      <c r="Y20" s="932"/>
      <c r="Z20" s="892"/>
      <c r="AA20" s="892"/>
    </row>
    <row r="21" spans="8:8">
      <c r="A21" s="892"/>
      <c r="B21" s="892"/>
      <c r="C21" s="933"/>
      <c r="D21" s="934"/>
      <c r="E21" s="934"/>
      <c r="F21" s="934"/>
      <c r="G21" s="904"/>
      <c r="H21" s="934"/>
      <c r="I21" s="934"/>
      <c r="J21" s="934"/>
      <c r="K21" s="934"/>
      <c r="L21" s="934"/>
      <c r="M21" s="934"/>
      <c r="N21" s="934"/>
      <c r="O21" s="934"/>
      <c r="P21" s="934"/>
      <c r="Q21" s="950"/>
      <c r="R21" s="950"/>
      <c r="S21" s="950"/>
      <c r="T21" s="950"/>
      <c r="U21" s="950"/>
      <c r="V21" s="950"/>
      <c r="W21" s="950"/>
      <c r="X21" s="950"/>
      <c r="Y21" s="932"/>
      <c r="Z21" s="892"/>
      <c r="AA21" s="892"/>
    </row>
    <row r="22" spans="8:8">
      <c r="A22" s="892"/>
      <c r="B22" s="892"/>
      <c r="C22" s="933"/>
      <c r="D22" s="934"/>
      <c r="E22" s="934"/>
      <c r="F22" s="934"/>
      <c r="G22" s="904"/>
      <c r="H22" s="934"/>
      <c r="I22" s="934"/>
      <c r="J22" s="934"/>
      <c r="K22" s="934"/>
      <c r="L22" s="934"/>
      <c r="M22" s="934"/>
      <c r="N22" s="934"/>
      <c r="O22" s="934"/>
      <c r="P22" s="934"/>
      <c r="Q22" s="950"/>
      <c r="R22" s="950"/>
      <c r="S22" s="950"/>
      <c r="T22" s="950"/>
      <c r="U22" s="950"/>
      <c r="V22" s="950"/>
      <c r="W22" s="950"/>
      <c r="X22" s="950"/>
      <c r="Y22" s="932"/>
      <c r="Z22" s="892"/>
      <c r="AA22" s="892"/>
    </row>
    <row r="23" spans="8:8">
      <c r="A23" s="892"/>
      <c r="B23" s="892"/>
      <c r="C23" s="933"/>
      <c r="D23" s="934"/>
      <c r="E23" s="934"/>
      <c r="F23" s="934"/>
      <c r="G23" s="904"/>
      <c r="H23" s="934"/>
      <c r="I23" s="934"/>
      <c r="J23" s="934"/>
      <c r="K23" s="934"/>
      <c r="L23" s="934"/>
      <c r="M23" s="934"/>
      <c r="N23" s="934"/>
      <c r="O23" s="934"/>
      <c r="P23" s="934"/>
      <c r="Q23" s="950"/>
      <c r="R23" s="950"/>
      <c r="S23" s="950"/>
      <c r="T23" s="950"/>
      <c r="U23" s="950"/>
      <c r="V23" s="950"/>
      <c r="W23" s="950"/>
      <c r="X23" s="950"/>
      <c r="Y23" s="932"/>
      <c r="Z23" s="892"/>
      <c r="AA23" s="892"/>
    </row>
    <row r="24" spans="8:8">
      <c r="A24" s="892"/>
      <c r="B24" s="892"/>
      <c r="C24" s="933"/>
      <c r="D24" s="934"/>
      <c r="E24" s="934"/>
      <c r="F24" s="934"/>
      <c r="G24" s="904"/>
      <c r="H24" s="934"/>
      <c r="I24" s="934"/>
      <c r="J24" s="934"/>
      <c r="K24" s="934"/>
      <c r="L24" s="934"/>
      <c r="M24" s="934"/>
      <c r="N24" s="934"/>
      <c r="O24" s="934"/>
      <c r="P24" s="934"/>
      <c r="Q24" s="950"/>
      <c r="R24" s="950"/>
      <c r="S24" s="950"/>
      <c r="T24" s="950"/>
      <c r="U24" s="950"/>
      <c r="V24" s="950"/>
      <c r="W24" s="950"/>
      <c r="X24" s="950"/>
      <c r="Y24" s="932"/>
      <c r="Z24" s="892"/>
      <c r="AA24" s="892"/>
    </row>
    <row r="25" spans="8:8">
      <c r="A25" s="892"/>
      <c r="B25" s="892"/>
      <c r="C25" s="933"/>
      <c r="D25" s="934"/>
      <c r="E25" s="934"/>
      <c r="F25" s="934"/>
      <c r="G25" s="904"/>
      <c r="H25" s="934"/>
      <c r="I25" s="934"/>
      <c r="J25" s="934"/>
      <c r="K25" s="934"/>
      <c r="L25" s="934"/>
      <c r="M25" s="934"/>
      <c r="N25" s="934"/>
      <c r="O25" s="934"/>
      <c r="P25" s="934"/>
      <c r="Q25" s="950"/>
      <c r="R25" s="950"/>
      <c r="S25" s="950"/>
      <c r="T25" s="950"/>
      <c r="U25" s="950"/>
      <c r="V25" s="950"/>
      <c r="W25" s="950"/>
      <c r="X25" s="950"/>
      <c r="Y25" s="932"/>
      <c r="Z25" s="892"/>
      <c r="AA25" s="892"/>
    </row>
    <row r="26" spans="8:8">
      <c r="A26" s="892"/>
      <c r="B26" s="892"/>
      <c r="C26" s="933"/>
      <c r="D26" s="934"/>
      <c r="E26" s="934"/>
      <c r="F26" s="934"/>
      <c r="G26" s="904"/>
      <c r="H26" s="934"/>
      <c r="I26" s="934"/>
      <c r="J26" s="934"/>
      <c r="K26" s="934"/>
      <c r="L26" s="934"/>
      <c r="M26" s="934"/>
      <c r="N26" s="934"/>
      <c r="O26" s="934"/>
      <c r="P26" s="934"/>
      <c r="Q26" s="950"/>
      <c r="R26" s="950"/>
      <c r="S26" s="950"/>
      <c r="T26" s="950"/>
      <c r="U26" s="950"/>
      <c r="V26" s="950"/>
      <c r="W26" s="950"/>
      <c r="X26" s="950"/>
      <c r="Y26" s="932"/>
      <c r="Z26" s="892"/>
      <c r="AA26" s="892"/>
    </row>
    <row r="27" spans="8:8">
      <c r="A27" s="892"/>
      <c r="B27" s="892"/>
      <c r="C27" s="933"/>
      <c r="D27" s="934"/>
      <c r="E27" s="934"/>
      <c r="F27" s="934"/>
      <c r="G27" s="904"/>
      <c r="H27" s="934"/>
      <c r="I27" s="934"/>
      <c r="J27" s="934"/>
      <c r="K27" s="934"/>
      <c r="L27" s="934"/>
      <c r="M27" s="934"/>
      <c r="N27" s="934"/>
      <c r="O27" s="934"/>
      <c r="P27" s="934"/>
      <c r="Q27" s="950"/>
      <c r="R27" s="950"/>
      <c r="S27" s="950"/>
      <c r="T27" s="950"/>
      <c r="U27" s="950"/>
      <c r="V27" s="950"/>
      <c r="W27" s="950"/>
      <c r="X27" s="950"/>
      <c r="Y27" s="932"/>
      <c r="Z27" s="892"/>
      <c r="AA27" s="892"/>
    </row>
    <row r="28" spans="8:8">
      <c r="A28" s="892"/>
      <c r="B28" s="892"/>
      <c r="C28" s="933"/>
      <c r="D28" s="934"/>
      <c r="E28" s="934"/>
      <c r="F28" s="934"/>
      <c r="G28" s="904"/>
      <c r="H28" s="934"/>
      <c r="I28" s="934"/>
      <c r="J28" s="934"/>
      <c r="K28" s="934"/>
      <c r="L28" s="934"/>
      <c r="M28" s="934"/>
      <c r="N28" s="934"/>
      <c r="O28" s="934"/>
      <c r="P28" s="934"/>
      <c r="Q28" s="950"/>
      <c r="R28" s="950"/>
      <c r="S28" s="950"/>
      <c r="T28" s="950"/>
      <c r="U28" s="950"/>
      <c r="V28" s="950"/>
      <c r="W28" s="950"/>
      <c r="X28" s="950"/>
      <c r="Y28" s="932"/>
      <c r="Z28" s="892"/>
      <c r="AA28" s="892"/>
    </row>
    <row r="29" spans="8:8" ht="15.75">
      <c r="A29" s="892"/>
      <c r="B29" s="892"/>
      <c r="C29" s="951"/>
      <c r="D29" s="952"/>
      <c r="E29" s="952"/>
      <c r="F29" s="952"/>
      <c r="G29" s="953"/>
      <c r="H29" s="952"/>
      <c r="I29" s="952"/>
      <c r="J29" s="952"/>
      <c r="K29" s="952"/>
      <c r="L29" s="952"/>
      <c r="M29" s="952"/>
      <c r="N29" s="952"/>
      <c r="O29" s="952"/>
      <c r="P29" s="952"/>
      <c r="Q29" s="954"/>
      <c r="R29" s="954"/>
      <c r="S29" s="954"/>
      <c r="T29" s="954"/>
      <c r="U29" s="954"/>
      <c r="V29" s="954"/>
      <c r="W29" s="954"/>
      <c r="X29" s="954"/>
      <c r="Y29" s="955"/>
      <c r="Z29" s="892"/>
      <c r="AA29" s="892"/>
    </row>
    <row r="30" spans="8:8" ht="15.75">
      <c r="A30" s="892"/>
      <c r="B30" s="892"/>
      <c r="C30" s="892"/>
      <c r="D30" s="892"/>
      <c r="E30" s="892"/>
      <c r="F30" s="892"/>
      <c r="G30" s="892"/>
      <c r="H30" s="892"/>
      <c r="I30" s="892"/>
      <c r="J30" s="892"/>
      <c r="K30" s="892"/>
      <c r="L30" s="892"/>
      <c r="M30" s="892"/>
      <c r="N30" s="892"/>
      <c r="O30" s="892"/>
      <c r="P30" s="892"/>
      <c r="Q30" s="892"/>
      <c r="R30" s="892"/>
      <c r="S30" s="892"/>
      <c r="T30" s="892"/>
      <c r="U30" s="892"/>
      <c r="V30" s="892"/>
      <c r="W30" s="892"/>
      <c r="X30" s="892"/>
      <c r="Y30" s="892"/>
      <c r="Z30" s="892"/>
      <c r="AA30" s="892"/>
    </row>
    <row r="31" spans="8:8">
      <c r="A31" s="892"/>
      <c r="B31" s="892"/>
      <c r="C31" s="892"/>
      <c r="D31" s="892"/>
      <c r="E31" s="892"/>
      <c r="F31" s="892"/>
      <c r="G31" s="892"/>
      <c r="H31" s="892"/>
      <c r="I31" s="892"/>
      <c r="J31" s="892"/>
      <c r="K31" s="892"/>
      <c r="L31" s="892"/>
      <c r="M31" s="892"/>
      <c r="N31" s="892"/>
      <c r="O31" s="892"/>
      <c r="P31" s="892"/>
      <c r="Q31" s="892"/>
      <c r="R31" s="892"/>
      <c r="S31" s="892"/>
      <c r="T31" s="892"/>
      <c r="U31" s="892"/>
      <c r="V31" s="892"/>
      <c r="W31" s="892"/>
      <c r="X31" s="892"/>
      <c r="Y31" s="892"/>
      <c r="Z31" s="892"/>
      <c r="AA31" s="892"/>
    </row>
    <row r="32" spans="8:8">
      <c r="A32" s="892"/>
      <c r="B32" s="892"/>
      <c r="C32" s="892"/>
      <c r="D32" s="892"/>
      <c r="E32" s="892"/>
      <c r="F32" s="892"/>
      <c r="G32" s="892"/>
      <c r="H32" s="892"/>
      <c r="I32" s="892"/>
      <c r="J32" s="892"/>
      <c r="K32" s="892"/>
      <c r="L32" s="892"/>
      <c r="M32" s="892"/>
      <c r="N32" s="892"/>
      <c r="O32" s="892"/>
      <c r="P32" s="892"/>
      <c r="Q32" s="892"/>
      <c r="R32" s="892"/>
      <c r="S32" s="892"/>
      <c r="T32" s="892"/>
      <c r="U32" s="892"/>
      <c r="V32" s="892"/>
      <c r="W32" s="892"/>
      <c r="X32" s="892"/>
      <c r="Y32" s="892"/>
      <c r="Z32" s="892"/>
      <c r="AA32" s="892"/>
    </row>
    <row r="33" spans="8:8">
      <c r="A33" s="892"/>
      <c r="B33" s="892"/>
      <c r="C33" s="892"/>
      <c r="D33" s="892"/>
      <c r="E33" s="892"/>
      <c r="F33" s="892"/>
      <c r="G33" s="892"/>
      <c r="H33" s="892"/>
      <c r="I33" s="892"/>
      <c r="J33" s="892"/>
      <c r="K33" s="892"/>
      <c r="L33" s="892"/>
      <c r="M33" s="892"/>
      <c r="N33" s="892"/>
      <c r="O33" s="892"/>
      <c r="P33" s="892"/>
      <c r="Q33" s="892"/>
      <c r="R33" s="892"/>
      <c r="S33" s="892"/>
      <c r="T33" s="892"/>
      <c r="U33" s="892"/>
      <c r="V33" s="892"/>
      <c r="W33" s="892"/>
      <c r="X33" s="892"/>
      <c r="Y33" s="892"/>
      <c r="Z33" s="892"/>
      <c r="AA33" s="892"/>
    </row>
    <row r="34" spans="8:8">
      <c r="A34" s="892"/>
      <c r="B34" s="892"/>
      <c r="C34" s="892"/>
      <c r="D34" s="892"/>
      <c r="E34" s="892"/>
      <c r="F34" s="892"/>
      <c r="G34" s="892"/>
      <c r="H34" s="892"/>
      <c r="I34" s="892"/>
      <c r="J34" s="892"/>
      <c r="K34" s="892"/>
      <c r="L34" s="892"/>
      <c r="M34" s="892"/>
      <c r="N34" s="892"/>
      <c r="O34" s="892"/>
      <c r="P34" s="892"/>
      <c r="Q34" s="892"/>
      <c r="R34" s="892"/>
      <c r="S34" s="892"/>
      <c r="T34" s="892"/>
      <c r="U34" s="892"/>
      <c r="V34" s="892"/>
      <c r="W34" s="892"/>
      <c r="X34" s="892"/>
      <c r="Y34" s="892"/>
      <c r="Z34" s="892"/>
      <c r="AA34" s="892"/>
    </row>
    <row r="35" spans="8:8">
      <c r="A35" s="892"/>
      <c r="B35" s="892"/>
      <c r="C35" s="892"/>
      <c r="D35" s="892"/>
      <c r="E35" s="892"/>
      <c r="F35" s="892"/>
      <c r="G35" s="892"/>
      <c r="H35" s="892"/>
      <c r="I35" s="892"/>
      <c r="J35" s="892"/>
      <c r="K35" s="892"/>
      <c r="L35" s="892"/>
      <c r="M35" s="892"/>
      <c r="N35" s="892"/>
      <c r="O35" s="892"/>
      <c r="P35" s="892"/>
      <c r="Q35" s="892"/>
      <c r="R35" s="892"/>
      <c r="S35" s="892"/>
      <c r="T35" s="892"/>
      <c r="U35" s="892"/>
      <c r="V35" s="892"/>
      <c r="W35" s="892"/>
      <c r="X35" s="892"/>
      <c r="Y35" s="892"/>
      <c r="Z35" s="892"/>
      <c r="AA35" s="892"/>
    </row>
    <row r="36" spans="8:8">
      <c r="A36" s="892"/>
      <c r="B36" s="892"/>
      <c r="C36" s="892"/>
      <c r="D36" s="892"/>
      <c r="E36" s="892"/>
      <c r="F36" s="892"/>
      <c r="G36" s="892"/>
      <c r="H36" s="892"/>
      <c r="I36" s="892"/>
      <c r="J36" s="892"/>
      <c r="K36" s="892"/>
      <c r="L36" s="892"/>
      <c r="M36" s="892"/>
      <c r="N36" s="892"/>
      <c r="O36" s="892"/>
      <c r="P36" s="892"/>
      <c r="Q36" s="892"/>
      <c r="R36" s="892"/>
      <c r="S36" s="892"/>
      <c r="T36" s="892"/>
      <c r="U36" s="892"/>
      <c r="V36" s="892"/>
      <c r="W36" s="892"/>
      <c r="X36" s="892"/>
      <c r="Y36" s="892"/>
      <c r="Z36" s="892"/>
      <c r="AA36" s="892"/>
    </row>
    <row r="37" spans="8:8">
      <c r="A37" s="892"/>
      <c r="B37" s="892"/>
      <c r="C37" s="892"/>
      <c r="D37" s="892"/>
      <c r="E37" s="892"/>
      <c r="F37" s="892"/>
      <c r="G37" s="892"/>
      <c r="H37" s="892"/>
      <c r="I37" s="892"/>
      <c r="J37" s="892"/>
      <c r="K37" s="892"/>
      <c r="L37" s="892"/>
      <c r="M37" s="892"/>
      <c r="N37" s="892"/>
      <c r="O37" s="892"/>
      <c r="P37" s="892"/>
      <c r="Q37" s="892"/>
      <c r="R37" s="892"/>
      <c r="S37" s="892"/>
      <c r="T37" s="892"/>
      <c r="U37" s="892"/>
      <c r="V37" s="892"/>
      <c r="W37" s="892"/>
      <c r="X37" s="892"/>
      <c r="Y37" s="892"/>
      <c r="Z37" s="892"/>
      <c r="AA37" s="892"/>
    </row>
    <row r="38" spans="8:8">
      <c r="A38" s="892"/>
      <c r="B38" s="892"/>
      <c r="C38" s="892"/>
      <c r="D38" s="892"/>
      <c r="E38" s="892"/>
      <c r="F38" s="892"/>
      <c r="G38" s="892"/>
      <c r="H38" s="892"/>
      <c r="I38" s="892"/>
      <c r="J38" s="892"/>
      <c r="K38" s="892"/>
      <c r="L38" s="892"/>
      <c r="M38" s="892"/>
      <c r="N38" s="892"/>
      <c r="O38" s="892"/>
      <c r="P38" s="892"/>
      <c r="Q38" s="892"/>
      <c r="R38" s="892"/>
      <c r="S38" s="892"/>
      <c r="T38" s="892"/>
      <c r="U38" s="892"/>
      <c r="V38" s="892"/>
      <c r="W38" s="892"/>
      <c r="X38" s="892"/>
      <c r="Y38" s="892"/>
      <c r="Z38" s="892"/>
      <c r="AA38" s="892"/>
    </row>
    <row r="39" spans="8:8">
      <c r="A39" s="892"/>
      <c r="B39" s="892"/>
      <c r="C39" s="892"/>
      <c r="D39" s="892"/>
      <c r="E39" s="892"/>
      <c r="F39" s="892"/>
      <c r="G39" s="892"/>
      <c r="H39" s="892"/>
      <c r="I39" s="892"/>
      <c r="J39" s="892"/>
      <c r="K39" s="892"/>
      <c r="L39" s="892"/>
      <c r="M39" s="892"/>
      <c r="N39" s="892"/>
      <c r="O39" s="892"/>
      <c r="P39" s="892"/>
      <c r="Q39" s="892"/>
      <c r="R39" s="892"/>
      <c r="S39" s="892"/>
      <c r="T39" s="892"/>
      <c r="U39" s="892"/>
      <c r="V39" s="892"/>
      <c r="W39" s="892"/>
      <c r="X39" s="892"/>
      <c r="Y39" s="892"/>
      <c r="Z39" s="892"/>
      <c r="AA39" s="892"/>
    </row>
    <row r="40" spans="8:8">
      <c r="A40" s="892"/>
      <c r="B40" s="892"/>
      <c r="C40" s="892"/>
      <c r="D40" s="892"/>
      <c r="E40" s="892"/>
      <c r="F40" s="892"/>
      <c r="G40" s="892"/>
      <c r="H40" s="892"/>
      <c r="I40" s="892"/>
      <c r="J40" s="892"/>
      <c r="K40" s="892"/>
      <c r="L40" s="892"/>
      <c r="M40" s="892"/>
      <c r="N40" s="892"/>
      <c r="O40" s="892"/>
      <c r="P40" s="892"/>
      <c r="Q40" s="892"/>
      <c r="R40" s="892"/>
      <c r="S40" s="892"/>
      <c r="T40" s="892"/>
      <c r="U40" s="892"/>
      <c r="V40" s="892"/>
      <c r="W40" s="892"/>
      <c r="X40" s="892"/>
      <c r="Y40" s="892"/>
      <c r="Z40" s="892"/>
      <c r="AA40" s="892"/>
    </row>
    <row r="41" spans="8:8">
      <c r="A41" s="892"/>
      <c r="B41" s="892"/>
      <c r="C41" s="892"/>
      <c r="D41" s="892"/>
      <c r="E41" s="892"/>
      <c r="F41" s="892"/>
      <c r="G41" s="892"/>
      <c r="H41" s="892"/>
      <c r="I41" s="892"/>
      <c r="J41" s="892"/>
      <c r="K41" s="892"/>
      <c r="L41" s="892"/>
      <c r="M41" s="892"/>
      <c r="N41" s="892"/>
      <c r="O41" s="892"/>
      <c r="P41" s="892"/>
      <c r="Q41" s="892"/>
      <c r="R41" s="892"/>
      <c r="S41" s="892"/>
      <c r="T41" s="892"/>
      <c r="U41" s="892"/>
      <c r="V41" s="892"/>
      <c r="W41" s="892"/>
      <c r="X41" s="892"/>
      <c r="Y41" s="892"/>
      <c r="Z41" s="892"/>
      <c r="AA41" s="892"/>
    </row>
    <row r="42" spans="8:8">
      <c r="A42" s="892"/>
      <c r="B42" s="892"/>
      <c r="C42" s="892"/>
      <c r="D42" s="892"/>
      <c r="E42" s="892"/>
      <c r="F42" s="892"/>
      <c r="G42" s="892"/>
      <c r="H42" s="892"/>
      <c r="I42" s="892"/>
      <c r="J42" s="892"/>
      <c r="K42" s="892"/>
      <c r="L42" s="892"/>
      <c r="M42" s="892"/>
      <c r="N42" s="892"/>
      <c r="O42" s="892"/>
      <c r="P42" s="892"/>
      <c r="Q42" s="892"/>
      <c r="R42" s="892"/>
      <c r="S42" s="892"/>
      <c r="T42" s="892"/>
      <c r="U42" s="892"/>
      <c r="V42" s="892"/>
      <c r="W42" s="892"/>
      <c r="X42" s="892"/>
      <c r="Y42" s="892"/>
      <c r="Z42" s="892"/>
      <c r="AA42" s="892"/>
    </row>
  </sheetData>
  <protectedRanges>
    <protectedRange sqref="U10:W10" name="Range4"/>
    <protectedRange sqref="Q10:S10" name="Range3"/>
  </protectedRanges>
  <mergeCells count="13">
    <mergeCell ref="U8:W8"/>
    <mergeCell ref="E15:M15"/>
    <mergeCell ref="Q13:X13"/>
    <mergeCell ref="E14:M14"/>
    <mergeCell ref="J10:L10"/>
    <mergeCell ref="E11:I11"/>
    <mergeCell ref="Q18:X18"/>
    <mergeCell ref="E16:M16"/>
    <mergeCell ref="C4:Y4"/>
    <mergeCell ref="C5:Y5"/>
    <mergeCell ref="I7:W7"/>
    <mergeCell ref="I9:X9"/>
    <mergeCell ref="G8:P8"/>
  </mergeCells>
  <pageMargins left="0.7" right="0.7" top="0.75" bottom="0.75" header="0.3" footer="0.3"/>
  <pageSetup paperSize="9" scale="78"/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tabColor rgb="FF002060"/>
  </sheetPr>
  <dimension ref="A1:W94"/>
  <sheetViews>
    <sheetView workbookViewId="0" topLeftCell="B1" showGridLines="0" showRowColHeaders="0">
      <selection activeCell="B2" sqref="B2:G2"/>
    </sheetView>
  </sheetViews>
  <sheetFormatPr defaultRowHeight="15.0" defaultColWidth="10"/>
  <cols>
    <col min="1" max="1" hidden="1" customWidth="1" width="1.2851562" style="0"/>
    <col min="2" max="2" customWidth="1" width="6.5703125" style="0"/>
    <col min="3" max="3" customWidth="1" width="4.7109375" style="0"/>
    <col min="4" max="4" customWidth="1" width="9.285156" style="0"/>
    <col min="5" max="5" customWidth="1" width="40.710938" style="0"/>
    <col min="6" max="6" customWidth="1" width="19.140625" style="956"/>
    <col min="7" max="7" customWidth="1" width="28.425781" style="956"/>
  </cols>
  <sheetData>
    <row r="1" spans="8:8" ht="5.1" customHeight="1"/>
    <row r="2" spans="8:8" ht="19.5">
      <c r="B2" s="957" t="s">
        <v>287</v>
      </c>
      <c r="C2" s="958"/>
      <c r="D2" s="958"/>
      <c r="E2" s="958"/>
      <c r="F2" s="958"/>
      <c r="G2" s="959"/>
      <c r="H2" s="960"/>
      <c r="I2" s="960"/>
      <c r="J2" s="960"/>
      <c r="K2" s="960"/>
      <c r="L2" s="960"/>
      <c r="M2" s="960"/>
      <c r="N2" s="960"/>
      <c r="O2" s="960"/>
      <c r="P2" s="960"/>
      <c r="Q2" s="960"/>
      <c r="R2" s="960"/>
      <c r="S2" s="960"/>
      <c r="T2" s="960"/>
    </row>
    <row r="3" spans="8:8">
      <c r="B3" s="961" t="s">
        <v>288</v>
      </c>
      <c r="C3" s="962"/>
      <c r="D3" s="962"/>
      <c r="E3" s="962"/>
      <c r="F3" s="962"/>
      <c r="G3" s="963"/>
      <c r="H3" s="960"/>
      <c r="I3" s="960"/>
      <c r="J3" s="960"/>
      <c r="K3" s="960"/>
      <c r="L3" s="960"/>
      <c r="M3" s="960"/>
      <c r="N3" s="960"/>
      <c r="O3" s="960"/>
      <c r="P3" s="960"/>
      <c r="Q3" s="960"/>
      <c r="R3" s="960"/>
      <c r="S3" s="960"/>
      <c r="T3" s="960"/>
    </row>
    <row r="4" spans="8:8" ht="20.1" customHeight="1">
      <c r="B4" s="961" t="s">
        <v>289</v>
      </c>
      <c r="C4" s="962"/>
      <c r="D4" s="962"/>
      <c r="E4" s="962"/>
      <c r="F4" s="962"/>
      <c r="G4" s="963"/>
      <c r="H4" s="960"/>
      <c r="I4" s="960"/>
      <c r="J4" s="960"/>
      <c r="K4" s="960"/>
      <c r="L4" s="960"/>
      <c r="M4" s="960"/>
      <c r="N4" s="960"/>
      <c r="O4" s="960"/>
      <c r="P4" s="960"/>
      <c r="Q4" s="960"/>
      <c r="R4" s="960"/>
      <c r="S4" s="960"/>
      <c r="T4" s="960"/>
    </row>
    <row r="5" spans="8:8" ht="24.75" customHeight="1">
      <c r="B5" s="964" t="str">
        <f>CONCATENATE("1. Name and address of the employee :    ",Data!D4,", ",Data!D7,", ",Data!D8,", ",Data!D9,", ",Data!D10,", ",Data!D11,".")</f>
        <v>1. Name and address of the employee :    P. Pothan Prasad, SGT, M.P.P.School, N.R.Palle, Pengalur, Kadapa.</v>
      </c>
      <c r="C5" s="965"/>
      <c r="D5" s="965"/>
      <c r="E5" s="965"/>
      <c r="F5" s="965"/>
      <c r="G5" s="966"/>
      <c r="H5" s="960"/>
      <c r="I5" s="960"/>
      <c r="J5" s="960"/>
      <c r="K5" s="960"/>
      <c r="L5" s="960"/>
      <c r="M5" s="960"/>
      <c r="N5" s="960"/>
      <c r="O5" s="960"/>
      <c r="P5" s="960"/>
      <c r="Q5" s="960"/>
      <c r="R5" s="960"/>
      <c r="S5" s="960"/>
      <c r="T5" s="960"/>
    </row>
    <row r="6" spans="8:8" ht="15.95" customHeight="1">
      <c r="B6" s="964" t="str">
        <f>CONCATENATE("2. Permanent Account Number of the employee  :   ",Data!D6)</f>
        <v>2. Permanent Account Number of the employee  :   AZKABC2307</v>
      </c>
      <c r="C6" s="965"/>
      <c r="D6" s="965"/>
      <c r="E6" s="965"/>
      <c r="F6" s="965"/>
      <c r="G6" s="966"/>
      <c r="H6" s="960"/>
      <c r="I6" s="960"/>
      <c r="J6" s="960"/>
      <c r="K6" s="960"/>
      <c r="L6" s="960"/>
      <c r="M6" s="960"/>
      <c r="N6" s="960"/>
      <c r="O6" s="960"/>
      <c r="P6" s="960"/>
      <c r="Q6" s="960"/>
      <c r="R6" s="960"/>
      <c r="S6" s="960"/>
      <c r="T6" s="960"/>
    </row>
    <row r="7" spans="8:8" ht="15.95" customHeight="1">
      <c r="B7" s="964" t="str">
        <f>CONCATENATE("3. Aadhaar Number of the employee  :  ",Data!D13)</f>
        <v>3. Aadhaar Number of the employee  :  234567891234</v>
      </c>
      <c r="C7" s="965"/>
      <c r="D7" s="965"/>
      <c r="E7" s="965"/>
      <c r="F7" s="965"/>
      <c r="G7" s="966"/>
      <c r="H7" s="960"/>
      <c r="I7" s="960"/>
      <c r="J7" s="960"/>
      <c r="K7" s="960"/>
      <c r="L7" s="960"/>
      <c r="M7" s="960"/>
      <c r="N7" s="960"/>
      <c r="O7" s="960"/>
      <c r="P7" s="960"/>
      <c r="Q7" s="960"/>
      <c r="R7" s="960"/>
      <c r="S7" s="960"/>
      <c r="T7" s="960"/>
    </row>
    <row r="8" spans="8:8" ht="15.95" customHeight="1">
      <c r="B8" s="964" t="str">
        <f>CONCATENATE("4. Financial year  :      ","2020-21")</f>
        <v>4. Financial year  :      2020-21</v>
      </c>
      <c r="C8" s="965"/>
      <c r="D8" s="965"/>
      <c r="E8" s="965"/>
      <c r="F8" s="965"/>
      <c r="G8" s="966"/>
      <c r="H8" s="960"/>
      <c r="I8" s="960"/>
      <c r="J8" s="960"/>
      <c r="K8" s="960"/>
      <c r="L8" s="960"/>
      <c r="M8" s="960"/>
      <c r="N8" s="960"/>
      <c r="O8" s="960"/>
      <c r="P8" s="960"/>
      <c r="Q8" s="960"/>
      <c r="R8" s="960"/>
      <c r="S8" s="960"/>
      <c r="T8" s="960"/>
    </row>
    <row r="9" spans="8:8" ht="20.1" customHeight="1">
      <c r="B9" s="967" t="s">
        <v>290</v>
      </c>
      <c r="C9" s="968"/>
      <c r="D9" s="968"/>
      <c r="E9" s="968"/>
      <c r="F9" s="968"/>
      <c r="G9" s="969"/>
      <c r="H9" s="960"/>
      <c r="I9" s="960"/>
      <c r="J9" s="960"/>
      <c r="K9" s="960"/>
      <c r="L9" s="960"/>
      <c r="M9" s="960"/>
      <c r="N9" s="960"/>
      <c r="O9" s="960"/>
      <c r="P9" s="960"/>
      <c r="Q9" s="960"/>
      <c r="R9" s="960"/>
      <c r="S9" s="960"/>
      <c r="T9" s="960"/>
    </row>
    <row r="10" spans="8:8" ht="23.1" customHeight="1">
      <c r="B10" s="970" t="s">
        <v>291</v>
      </c>
      <c r="C10" s="971" t="s">
        <v>292</v>
      </c>
      <c r="D10" s="972"/>
      <c r="E10" s="973"/>
      <c r="F10" s="974" t="s">
        <v>293</v>
      </c>
      <c r="G10" s="975" t="s">
        <v>294</v>
      </c>
      <c r="H10" s="960"/>
      <c r="I10" s="960"/>
      <c r="J10" s="960"/>
      <c r="K10" s="960"/>
      <c r="L10" s="960"/>
      <c r="M10" s="960"/>
      <c r="N10" s="960"/>
      <c r="O10" s="960"/>
      <c r="P10" s="960"/>
      <c r="Q10" s="960"/>
      <c r="R10" s="960"/>
      <c r="S10" s="960"/>
      <c r="T10" s="960"/>
    </row>
    <row r="11" spans="8:8" ht="15.95" customHeight="1">
      <c r="B11" s="976" t="s">
        <v>295</v>
      </c>
      <c r="C11" s="977" t="s">
        <v>296</v>
      </c>
      <c r="D11" s="978"/>
      <c r="E11" s="979"/>
      <c r="F11" s="980" t="s">
        <v>297</v>
      </c>
      <c r="G11" s="981" t="s">
        <v>298</v>
      </c>
      <c r="H11" s="960"/>
      <c r="I11" s="960"/>
      <c r="J11" s="960"/>
      <c r="K11" s="960"/>
      <c r="L11" s="960"/>
      <c r="M11" s="960"/>
      <c r="N11" s="960"/>
      <c r="O11" s="960"/>
      <c r="P11" s="960"/>
      <c r="Q11" s="960"/>
      <c r="R11" s="960"/>
      <c r="S11" s="960"/>
      <c r="T11" s="960"/>
    </row>
    <row r="12" spans="8:8" ht="15.95" customHeight="1">
      <c r="B12" s="982">
        <v>1.0</v>
      </c>
      <c r="C12" s="983" t="s">
        <v>299</v>
      </c>
      <c r="D12" s="984"/>
      <c r="E12" s="985"/>
      <c r="F12" s="986"/>
      <c r="G12" s="987"/>
      <c r="H12" s="960"/>
      <c r="I12" s="960"/>
      <c r="J12" s="960"/>
      <c r="K12" s="960"/>
      <c r="L12" s="960"/>
      <c r="M12" s="960"/>
      <c r="N12" s="960"/>
      <c r="O12" s="960"/>
      <c r="P12" s="960"/>
      <c r="Q12" s="960"/>
      <c r="R12" s="960"/>
      <c r="S12" s="960"/>
      <c r="T12" s="960"/>
    </row>
    <row r="13" spans="8:8" ht="15.95" customHeight="1">
      <c r="B13" s="988"/>
      <c r="C13" s="989" t="str">
        <f>CONCATENATE("(i) Rent paid to the landlord       :        ",Data!M9,"  x "," 12 "," = ",'House Rent'!U8)</f>
        <v>(i) Rent paid to the landlord       :        7000  x  12  = 84000</v>
      </c>
      <c r="D13" s="990"/>
      <c r="E13" s="991"/>
      <c r="F13" s="992">
        <f>'House Rent'!U8</f>
        <v>84000.0</v>
      </c>
      <c r="G13" s="993" t="str">
        <f>IF(F13&gt;0,"RECEIPT PRODUCED","")</f>
        <v>RECEIPT PRODUCED</v>
      </c>
      <c r="H13" s="960"/>
      <c r="I13" s="960"/>
      <c r="J13" s="960"/>
      <c r="K13" s="960"/>
      <c r="L13" s="960"/>
      <c r="M13" s="960"/>
      <c r="N13" s="960"/>
      <c r="O13" s="960"/>
      <c r="P13" s="960"/>
      <c r="Q13" s="960"/>
      <c r="R13" s="960"/>
      <c r="S13" s="960"/>
      <c r="T13" s="960"/>
    </row>
    <row r="14" spans="8:8" ht="15.95" customHeight="1">
      <c r="B14" s="988"/>
      <c r="C14" s="994" t="e">
        <f>CONCATENATE("(ii) Name of the landlord           :       Sri / Smt.  :  ", )</f>
        <v>#N/A</v>
      </c>
      <c r="D14" s="995"/>
      <c r="E14" s="995"/>
      <c r="F14" s="996"/>
      <c r="G14" s="993"/>
      <c r="H14" s="960"/>
      <c r="I14" s="960"/>
      <c r="J14" s="960"/>
      <c r="K14" s="960"/>
      <c r="L14" s="960"/>
      <c r="M14" s="960"/>
      <c r="N14" s="960"/>
      <c r="O14" s="960"/>
      <c r="P14" s="960"/>
      <c r="Q14" s="960"/>
      <c r="R14" s="960"/>
      <c r="S14" s="960"/>
      <c r="T14" s="960"/>
    </row>
    <row r="15" spans="8:8" ht="15.95" customHeight="1">
      <c r="B15" s="988"/>
      <c r="C15" s="997" t="s">
        <v>300</v>
      </c>
      <c r="D15" s="998"/>
      <c r="E15" s="999"/>
      <c r="F15" s="1000"/>
      <c r="G15" s="993"/>
      <c r="H15" s="960"/>
      <c r="I15" s="960"/>
      <c r="J15" s="960"/>
      <c r="K15" s="960"/>
      <c r="L15" s="960"/>
      <c r="M15" s="960"/>
      <c r="N15" s="960"/>
      <c r="O15" s="960"/>
      <c r="P15" s="960"/>
      <c r="Q15" s="960"/>
      <c r="R15" s="960"/>
      <c r="S15" s="960"/>
      <c r="T15" s="960"/>
    </row>
    <row r="16" spans="8:8" ht="15.95" customHeight="1">
      <c r="B16" s="1001"/>
      <c r="C16" s="1002" t="s">
        <v>301</v>
      </c>
      <c r="D16" s="1003"/>
      <c r="E16" s="1004"/>
      <c r="F16" s="1005" t="s">
        <v>539</v>
      </c>
      <c r="G16" s="1006" t="str">
        <f>IF(F13&gt;=100000,"PAN COPY PRODUCED","")</f>
        <v/>
      </c>
      <c r="H16" s="960"/>
      <c r="I16" s="960"/>
      <c r="J16" s="960"/>
      <c r="K16" s="960"/>
      <c r="L16" s="960"/>
      <c r="M16" s="960"/>
      <c r="N16" s="960"/>
      <c r="O16" s="960"/>
      <c r="P16" s="960"/>
      <c r="Q16" s="960"/>
      <c r="R16" s="960"/>
      <c r="S16" s="960"/>
      <c r="T16" s="960"/>
    </row>
    <row r="17" spans="8:8">
      <c r="B17" s="1007">
        <v>2.0</v>
      </c>
      <c r="C17" s="1008" t="s">
        <v>302</v>
      </c>
      <c r="D17" s="1009"/>
      <c r="E17" s="1010"/>
      <c r="F17" s="1011"/>
      <c r="G17" s="1012"/>
      <c r="H17" s="960"/>
      <c r="I17" s="960"/>
      <c r="J17" s="960"/>
      <c r="K17" s="960"/>
      <c r="L17" s="960"/>
      <c r="M17" s="960"/>
      <c r="N17" s="960"/>
      <c r="O17" s="960"/>
      <c r="P17" s="960"/>
      <c r="Q17" s="960"/>
      <c r="R17" s="960"/>
      <c r="S17" s="960"/>
      <c r="T17" s="960"/>
    </row>
    <row r="18" spans="8:8">
      <c r="B18" s="988">
        <v>3.0</v>
      </c>
      <c r="C18" s="1013" t="s">
        <v>303</v>
      </c>
      <c r="D18" s="1014"/>
      <c r="E18" s="1015"/>
      <c r="F18" s="1016"/>
      <c r="G18" s="987"/>
      <c r="H18" s="960"/>
      <c r="I18" s="960"/>
      <c r="J18" s="960"/>
      <c r="K18" s="960"/>
      <c r="L18" s="960"/>
      <c r="M18" s="960"/>
      <c r="N18" s="960"/>
      <c r="O18" s="960"/>
      <c r="P18" s="960"/>
      <c r="Q18" s="960"/>
      <c r="R18" s="960"/>
      <c r="S18" s="960"/>
      <c r="T18" s="960"/>
    </row>
    <row r="19" spans="8:8">
      <c r="B19" s="988"/>
      <c r="C19" s="997" t="s">
        <v>304</v>
      </c>
      <c r="D19" s="998"/>
      <c r="E19" s="999"/>
      <c r="F19" s="992">
        <v>0.0</v>
      </c>
      <c r="G19" s="993"/>
      <c r="H19" s="960"/>
      <c r="I19" s="960"/>
      <c r="J19" s="960"/>
      <c r="K19" s="960"/>
      <c r="L19" s="960"/>
      <c r="M19" s="960"/>
      <c r="N19" s="960"/>
      <c r="O19" s="960"/>
      <c r="P19" s="960"/>
      <c r="Q19" s="960"/>
      <c r="R19" s="960"/>
      <c r="S19" s="960"/>
      <c r="T19" s="960"/>
    </row>
    <row r="20" spans="8:8">
      <c r="B20" s="988"/>
      <c r="C20" s="997" t="s">
        <v>305</v>
      </c>
      <c r="D20" s="998"/>
      <c r="E20" s="999"/>
      <c r="F20" s="1000"/>
      <c r="G20" s="993"/>
      <c r="H20" s="960"/>
      <c r="I20" s="960"/>
      <c r="J20" s="960"/>
      <c r="K20" s="960"/>
      <c r="L20" s="960"/>
      <c r="M20" s="960"/>
      <c r="N20" s="960"/>
      <c r="O20" s="960"/>
      <c r="P20" s="960"/>
      <c r="Q20" s="960"/>
      <c r="R20" s="960"/>
      <c r="S20" s="960"/>
      <c r="T20" s="960"/>
    </row>
    <row r="21" spans="8:8">
      <c r="B21" s="988"/>
      <c r="C21" s="997" t="s">
        <v>306</v>
      </c>
      <c r="D21" s="998"/>
      <c r="E21" s="999"/>
      <c r="F21" s="1000"/>
      <c r="G21" s="993"/>
      <c r="H21" s="960"/>
      <c r="I21" s="960"/>
      <c r="J21" s="960"/>
      <c r="K21" s="960"/>
      <c r="L21" s="960"/>
      <c r="M21" s="960"/>
      <c r="N21" s="960"/>
      <c r="O21" s="960"/>
      <c r="P21" s="960"/>
      <c r="Q21" s="960"/>
      <c r="R21" s="960"/>
      <c r="S21" s="960"/>
      <c r="T21" s="960"/>
    </row>
    <row r="22" spans="8:8">
      <c r="B22" s="988"/>
      <c r="C22" s="997" t="s">
        <v>307</v>
      </c>
      <c r="D22" s="998"/>
      <c r="E22" s="999"/>
      <c r="F22" s="1000"/>
      <c r="G22" s="993"/>
      <c r="H22" s="960"/>
      <c r="I22" s="960"/>
      <c r="J22" s="960"/>
      <c r="K22" s="960"/>
      <c r="L22" s="960"/>
      <c r="M22" s="960"/>
      <c r="N22" s="960"/>
      <c r="O22" s="960"/>
      <c r="P22" s="960"/>
      <c r="Q22" s="960"/>
      <c r="R22" s="960"/>
      <c r="S22" s="960"/>
      <c r="T22" s="960"/>
    </row>
    <row r="23" spans="8:8">
      <c r="B23" s="988"/>
      <c r="C23" s="997" t="s">
        <v>308</v>
      </c>
      <c r="D23" s="998"/>
      <c r="E23" s="999"/>
      <c r="F23" s="1000"/>
      <c r="G23" s="993"/>
      <c r="H23" s="960"/>
      <c r="I23" s="960"/>
      <c r="J23" s="960"/>
      <c r="K23" s="960"/>
      <c r="L23" s="960"/>
      <c r="M23" s="960"/>
      <c r="N23" s="960"/>
      <c r="O23" s="960"/>
      <c r="P23" s="960"/>
      <c r="Q23" s="960"/>
      <c r="R23" s="960"/>
      <c r="S23" s="960"/>
      <c r="T23" s="960"/>
    </row>
    <row r="24" spans="8:8">
      <c r="B24" s="988"/>
      <c r="C24" s="997" t="s">
        <v>309</v>
      </c>
      <c r="D24" s="998"/>
      <c r="E24" s="999"/>
      <c r="F24" s="1000"/>
      <c r="G24" s="993"/>
      <c r="H24" s="960"/>
      <c r="I24" s="960"/>
      <c r="J24" s="960"/>
      <c r="K24" s="960"/>
      <c r="L24" s="960"/>
      <c r="M24" s="960"/>
      <c r="N24" s="960"/>
      <c r="O24" s="960"/>
      <c r="P24" s="960"/>
      <c r="Q24" s="960"/>
      <c r="R24" s="960"/>
      <c r="S24" s="960"/>
      <c r="T24" s="960"/>
    </row>
    <row r="25" spans="8:8">
      <c r="B25" s="1001"/>
      <c r="C25" s="1002" t="s">
        <v>310</v>
      </c>
      <c r="D25" s="1003"/>
      <c r="E25" s="1004"/>
      <c r="F25" s="1017"/>
      <c r="G25" s="1018"/>
      <c r="H25" s="960"/>
      <c r="I25" s="960"/>
      <c r="J25" s="960"/>
      <c r="K25" s="960"/>
      <c r="L25" s="960"/>
      <c r="M25" s="960"/>
      <c r="N25" s="960"/>
      <c r="O25" s="960"/>
      <c r="P25" s="960"/>
      <c r="Q25" s="960"/>
      <c r="R25" s="960"/>
      <c r="S25" s="960"/>
      <c r="T25" s="960"/>
    </row>
    <row r="26" spans="8:8">
      <c r="B26" s="988">
        <v>4.0</v>
      </c>
      <c r="C26" s="1019" t="s">
        <v>311</v>
      </c>
      <c r="D26" s="1020"/>
      <c r="E26" s="1021"/>
      <c r="F26" s="1022"/>
      <c r="G26" s="987"/>
      <c r="H26" s="960"/>
      <c r="I26" s="960"/>
      <c r="J26" s="960"/>
      <c r="K26" s="960"/>
      <c r="L26" s="960"/>
      <c r="M26" s="960"/>
      <c r="N26" s="960"/>
      <c r="O26" s="960"/>
      <c r="P26" s="960"/>
      <c r="Q26" s="960"/>
      <c r="R26" s="960"/>
      <c r="S26" s="960"/>
      <c r="T26" s="960"/>
    </row>
    <row r="27" spans="8:8">
      <c r="B27" s="988" t="s">
        <v>312</v>
      </c>
      <c r="C27" s="997" t="s">
        <v>313</v>
      </c>
      <c r="D27" s="998"/>
      <c r="E27" s="999"/>
      <c r="F27" s="1023"/>
      <c r="G27" s="993"/>
      <c r="H27" s="960"/>
      <c r="I27" s="960"/>
      <c r="J27" s="960"/>
      <c r="K27" s="960"/>
      <c r="L27" s="960"/>
      <c r="M27" s="960"/>
      <c r="N27" s="960"/>
      <c r="O27" s="960"/>
      <c r="P27" s="960"/>
      <c r="Q27" s="960"/>
      <c r="R27" s="960"/>
      <c r="S27" s="960"/>
      <c r="T27" s="960"/>
    </row>
    <row r="28" spans="8:8">
      <c r="B28" s="988"/>
      <c r="C28" s="1024" t="s">
        <v>314</v>
      </c>
      <c r="D28" s="1025"/>
      <c r="E28" s="1026"/>
      <c r="F28" s="1023"/>
      <c r="G28" s="993"/>
      <c r="H28" s="960"/>
      <c r="I28" s="960"/>
      <c r="J28" s="960"/>
      <c r="K28" s="960"/>
      <c r="L28" s="960"/>
      <c r="M28" s="960"/>
      <c r="N28" s="960"/>
      <c r="O28" s="960"/>
      <c r="P28" s="960"/>
      <c r="Q28" s="960"/>
      <c r="R28" s="960"/>
      <c r="S28" s="960"/>
      <c r="T28" s="960"/>
    </row>
    <row r="29" spans="8:8" ht="15.75">
      <c r="B29" s="988"/>
      <c r="C29" s="1027" t="s">
        <v>315</v>
      </c>
      <c r="D29" s="1028" t="s">
        <v>245</v>
      </c>
      <c r="E29" s="1029" t="str">
        <f>'ANNEXURE II'!C38</f>
        <v>CPS</v>
      </c>
      <c r="F29" s="992">
        <f>'ANNEXURE II'!K38</f>
        <v>64179.0</v>
      </c>
      <c r="G29" s="1030" t="str">
        <f>IF(F29&gt;0,"SALARY DEDUCTION","")</f>
        <v>SALARY DEDUCTION</v>
      </c>
      <c r="H29" s="960"/>
      <c r="I29" s="960"/>
      <c r="J29" s="960"/>
      <c r="K29" s="960"/>
      <c r="L29" s="960"/>
      <c r="M29" s="960"/>
      <c r="N29" s="960"/>
      <c r="O29" s="960"/>
      <c r="P29" s="960"/>
      <c r="Q29" s="960"/>
      <c r="R29" s="960"/>
      <c r="S29" s="960"/>
      <c r="T29" s="960"/>
    </row>
    <row r="30" spans="8:8" ht="15.75">
      <c r="B30" s="988"/>
      <c r="C30" s="1027" t="s">
        <v>316</v>
      </c>
      <c r="D30" s="1028" t="s">
        <v>245</v>
      </c>
      <c r="E30" s="1029" t="str">
        <f>'ANNEXURE II'!C39</f>
        <v>APGLI</v>
      </c>
      <c r="F30" s="992">
        <f>'ANNEXURE II'!K39</f>
        <v>12000.0</v>
      </c>
      <c r="G30" s="1030" t="str">
        <f t="shared" si="0" ref="G30:G31">IF(F30&gt;0,"SALARY DEDUCTION","")</f>
        <v>SALARY DEDUCTION</v>
      </c>
      <c r="H30" s="960"/>
      <c r="I30" s="960"/>
      <c r="J30" s="960"/>
      <c r="K30" s="960"/>
      <c r="L30" s="960"/>
      <c r="M30" s="960"/>
      <c r="N30" s="960"/>
      <c r="O30" s="960"/>
      <c r="P30" s="960"/>
      <c r="Q30" s="960"/>
      <c r="R30" s="960"/>
      <c r="S30" s="960"/>
      <c r="T30" s="960"/>
    </row>
    <row r="31" spans="8:8" ht="15.75">
      <c r="B31" s="988"/>
      <c r="C31" s="1027" t="s">
        <v>317</v>
      </c>
      <c r="D31" s="1028" t="s">
        <v>245</v>
      </c>
      <c r="E31" s="1029" t="str">
        <f>'ANNEXURE II'!C40</f>
        <v>GIS</v>
      </c>
      <c r="F31" s="992">
        <f>'ANNEXURE II'!K40</f>
        <v>360.0</v>
      </c>
      <c r="G31" s="1030" t="str">
        <f t="shared" si="0"/>
        <v>SALARY DEDUCTION</v>
      </c>
      <c r="H31" s="960"/>
      <c r="I31" s="960"/>
      <c r="J31" s="960"/>
      <c r="K31" s="960"/>
      <c r="L31" s="960"/>
      <c r="M31" s="960"/>
      <c r="N31" s="960"/>
      <c r="O31" s="960"/>
      <c r="P31" s="960"/>
      <c r="Q31" s="960"/>
      <c r="R31" s="960"/>
      <c r="S31" s="960"/>
      <c r="T31" s="960"/>
    </row>
    <row r="32" spans="8:8" ht="15.0" customHeight="1">
      <c r="B32" s="988"/>
      <c r="C32" s="1027" t="s">
        <v>318</v>
      </c>
      <c r="D32" s="1028" t="s">
        <v>245</v>
      </c>
      <c r="E32" s="1029" t="str">
        <f>'ANNEXURE II'!C41</f>
        <v>LIC (Salary)</v>
      </c>
      <c r="F32" s="992">
        <f>'ANNEXURE II'!K41</f>
        <v>0.0</v>
      </c>
      <c r="G32" s="1031" t="str">
        <f>IF(F32&gt;0,"RECEIPT PRODUCED","")</f>
        <v/>
      </c>
      <c r="H32" s="960"/>
      <c r="I32" s="960"/>
      <c r="J32" s="960"/>
      <c r="K32" s="960"/>
      <c r="L32" s="960"/>
      <c r="M32" s="960"/>
      <c r="N32" s="960"/>
      <c r="O32" s="960"/>
      <c r="P32" s="960"/>
      <c r="Q32" s="960"/>
      <c r="R32" s="960"/>
      <c r="S32" s="960"/>
      <c r="T32" s="960"/>
    </row>
    <row r="33" spans="8:8" ht="15.75">
      <c r="B33" s="988"/>
      <c r="C33" s="1027" t="s">
        <v>319</v>
      </c>
      <c r="D33" s="1028" t="s">
        <v>245</v>
      </c>
      <c r="E33" s="1032" t="str">
        <f>'ANNEXURE II'!C42</f>
        <v>Life Insurance Premium</v>
      </c>
      <c r="F33" s="992">
        <f>'ANNEXURE II'!K42</f>
        <v>0.0</v>
      </c>
      <c r="G33" s="1031" t="str">
        <f t="shared" si="1" ref="G33:G40">IF(F33&gt;0,"RECEIPT PRODUCED","")</f>
        <v/>
      </c>
      <c r="H33" s="960"/>
      <c r="I33" s="960"/>
      <c r="J33" s="960"/>
      <c r="K33" s="960"/>
      <c r="L33" s="960"/>
      <c r="M33" s="960"/>
      <c r="N33" s="960"/>
      <c r="O33" s="960"/>
      <c r="P33" s="960"/>
      <c r="Q33" s="960"/>
      <c r="R33" s="960"/>
      <c r="S33" s="960"/>
      <c r="T33" s="960"/>
    </row>
    <row r="34" spans="8:8" ht="15.75">
      <c r="B34" s="988"/>
      <c r="C34" s="1027" t="s">
        <v>320</v>
      </c>
      <c r="D34" s="1028" t="s">
        <v>245</v>
      </c>
      <c r="E34" s="1032" t="str">
        <f>'ANNEXURE II'!C43</f>
        <v>Children’s Tuition Fees</v>
      </c>
      <c r="F34" s="992">
        <f>'ANNEXURE II'!K43</f>
        <v>0.0</v>
      </c>
      <c r="G34" s="1031" t="str">
        <f t="shared" si="1"/>
        <v/>
      </c>
      <c r="H34" s="960"/>
      <c r="I34" s="960"/>
      <c r="J34" s="960"/>
      <c r="K34" s="960"/>
      <c r="L34" s="960"/>
      <c r="M34" s="960"/>
      <c r="N34" s="960"/>
      <c r="O34" s="960"/>
      <c r="P34" s="960"/>
      <c r="Q34" s="960"/>
      <c r="R34" s="960"/>
      <c r="S34" s="960"/>
      <c r="T34" s="960"/>
    </row>
    <row r="35" spans="8:8" ht="15.75">
      <c r="B35" s="988"/>
      <c r="C35" s="1027" t="s">
        <v>321</v>
      </c>
      <c r="D35" s="1028" t="s">
        <v>245</v>
      </c>
      <c r="E35" s="1029" t="str">
        <f>'ANNEXURE II'!C44</f>
        <v>National Savings Certificates (NSC)</v>
      </c>
      <c r="F35" s="992">
        <f>'ANNEXURE II'!K44</f>
        <v>0.0</v>
      </c>
      <c r="G35" s="1031" t="str">
        <f t="shared" si="1"/>
        <v/>
      </c>
      <c r="H35" s="960"/>
      <c r="I35" s="960"/>
      <c r="J35" s="960"/>
      <c r="K35" s="960"/>
      <c r="L35" s="960"/>
      <c r="M35" s="960"/>
      <c r="N35" s="960"/>
      <c r="O35" s="960"/>
      <c r="P35" s="960"/>
      <c r="Q35" s="960"/>
      <c r="R35" s="960"/>
      <c r="S35" s="960"/>
      <c r="T35" s="960"/>
    </row>
    <row r="36" spans="8:8" ht="15.75">
      <c r="B36" s="988"/>
      <c r="C36" s="1027" t="s">
        <v>322</v>
      </c>
      <c r="D36" s="1028" t="s">
        <v>245</v>
      </c>
      <c r="E36" s="1029" t="str">
        <f>'ANNEXURE II'!C45</f>
        <v>Exide Life Insurance</v>
      </c>
      <c r="F36" s="992">
        <f>'ANNEXURE II'!K45</f>
        <v>0.0</v>
      </c>
      <c r="G36" s="1031" t="str">
        <f t="shared" si="1"/>
        <v/>
      </c>
      <c r="H36" s="960"/>
      <c r="I36" s="960"/>
      <c r="J36" s="960"/>
      <c r="K36" s="960"/>
      <c r="L36" s="960"/>
      <c r="M36" s="960"/>
      <c r="N36" s="960"/>
      <c r="O36" s="960"/>
      <c r="P36" s="960"/>
      <c r="Q36" s="960"/>
      <c r="R36" s="960"/>
      <c r="S36" s="960"/>
      <c r="T36" s="960"/>
    </row>
    <row r="37" spans="8:8" ht="30.0">
      <c r="B37" s="988"/>
      <c r="C37" s="1027" t="s">
        <v>323</v>
      </c>
      <c r="D37" s="1028" t="s">
        <v>245</v>
      </c>
      <c r="E37" s="1029" t="str">
        <f>'ANNEXURE II'!C46</f>
        <v>Sukanya Samriddhi Account Deposit Scheme</v>
      </c>
      <c r="F37" s="992">
        <f>'ANNEXURE II'!K46</f>
        <v>0.0</v>
      </c>
      <c r="G37" s="1031" t="str">
        <f t="shared" si="1"/>
        <v/>
      </c>
      <c r="H37" s="960"/>
      <c r="I37" s="960"/>
      <c r="J37" s="960"/>
      <c r="K37" s="960"/>
      <c r="L37" s="960"/>
      <c r="M37" s="960"/>
      <c r="N37" s="960"/>
      <c r="O37" s="960"/>
      <c r="P37" s="960"/>
      <c r="Q37" s="960"/>
      <c r="R37" s="960"/>
      <c r="S37" s="960"/>
      <c r="T37" s="960"/>
    </row>
    <row r="38" spans="8:8" ht="15.75">
      <c r="B38" s="988"/>
      <c r="C38" s="1027" t="s">
        <v>324</v>
      </c>
      <c r="D38" s="1028" t="s">
        <v>245</v>
      </c>
      <c r="E38" s="1033" t="str">
        <f>'ANNEXURE II'!C47</f>
        <v>Repayment of Home Loan (Principal only)</v>
      </c>
      <c r="F38" s="992">
        <f>'ANNEXURE II'!K47</f>
        <v>0.0</v>
      </c>
      <c r="G38" s="1031" t="str">
        <f t="shared" si="1"/>
        <v/>
      </c>
      <c r="H38" s="960"/>
      <c r="I38" s="960"/>
      <c r="J38" s="960"/>
      <c r="K38" s="960"/>
      <c r="L38" s="960"/>
      <c r="M38" s="960"/>
      <c r="N38" s="960"/>
      <c r="O38" s="960"/>
      <c r="P38" s="960"/>
      <c r="Q38" s="960"/>
      <c r="R38" s="960"/>
      <c r="S38" s="960"/>
      <c r="T38" s="960"/>
    </row>
    <row r="39" spans="8:8" ht="15.75">
      <c r="B39" s="988"/>
      <c r="C39" s="1027" t="s">
        <v>325</v>
      </c>
      <c r="D39" s="1028" t="s">
        <v>245</v>
      </c>
      <c r="E39" s="1032" t="str">
        <f>'ANNEXURE II'!C48</f>
        <v>Other</v>
      </c>
      <c r="F39" s="992">
        <v>0.0</v>
      </c>
      <c r="G39" s="1031" t="str">
        <f t="shared" si="1"/>
        <v/>
      </c>
      <c r="H39" s="960"/>
      <c r="I39" s="960"/>
      <c r="J39" s="960"/>
      <c r="K39" s="960"/>
      <c r="L39" s="960"/>
      <c r="M39" s="960"/>
      <c r="N39" s="960"/>
      <c r="O39" s="960"/>
      <c r="P39" s="960"/>
      <c r="Q39" s="960"/>
      <c r="R39" s="960"/>
      <c r="S39" s="960"/>
      <c r="T39" s="960"/>
    </row>
    <row r="40" spans="8:8" ht="15.75">
      <c r="B40" s="988"/>
      <c r="C40" s="1027" t="s">
        <v>326</v>
      </c>
      <c r="D40" s="1028" t="s">
        <v>327</v>
      </c>
      <c r="E40" s="1029"/>
      <c r="F40" s="992">
        <v>0.0</v>
      </c>
      <c r="G40" s="1031" t="str">
        <f t="shared" si="1"/>
        <v/>
      </c>
      <c r="H40" s="960"/>
      <c r="I40" s="960"/>
      <c r="J40" s="960"/>
      <c r="K40" s="960"/>
      <c r="L40" s="960"/>
      <c r="M40" s="960"/>
      <c r="N40" s="960"/>
      <c r="O40" s="960"/>
      <c r="P40" s="960"/>
      <c r="Q40" s="960"/>
      <c r="R40" s="960"/>
      <c r="S40" s="960"/>
      <c r="T40" s="960"/>
    </row>
    <row r="41" spans="8:8" ht="31.5" customHeight="1">
      <c r="B41" s="988" t="s">
        <v>328</v>
      </c>
      <c r="C41" s="1034" t="s">
        <v>329</v>
      </c>
      <c r="D41" s="1035"/>
      <c r="E41" s="1036"/>
      <c r="F41" s="1037"/>
      <c r="G41" s="1038"/>
      <c r="H41" s="960"/>
      <c r="I41" s="960"/>
      <c r="J41" s="960"/>
      <c r="K41" s="960"/>
      <c r="L41" s="960"/>
      <c r="M41" s="960"/>
      <c r="N41" s="960"/>
      <c r="O41" s="960"/>
      <c r="P41" s="960"/>
      <c r="Q41" s="960"/>
      <c r="R41" s="960"/>
      <c r="S41" s="960"/>
      <c r="T41" s="960"/>
    </row>
    <row r="42" spans="8:8" ht="15.75">
      <c r="B42" s="988"/>
      <c r="C42" s="1039" t="s">
        <v>323</v>
      </c>
      <c r="D42" s="1040"/>
      <c r="E42" s="1041" t="str">
        <f>'ANNEXURE II'!C23</f>
        <v>80DDB Expenditure on Medical Treatment S.Citizen</v>
      </c>
      <c r="F42" s="992">
        <f>'ANNEXURE II'!K23</f>
        <v>0.0</v>
      </c>
      <c r="G42" s="1030" t="str">
        <f>IF(F42&gt;0,"RECEIPT PRODUCED","")</f>
        <v/>
      </c>
      <c r="H42" s="960"/>
      <c r="I42" s="960"/>
      <c r="J42" s="960"/>
      <c r="K42" s="960"/>
      <c r="L42" s="960"/>
      <c r="M42" s="960"/>
      <c r="N42" s="960"/>
      <c r="O42" s="960"/>
      <c r="P42" s="960"/>
      <c r="Q42" s="960"/>
      <c r="R42" s="960"/>
      <c r="S42" s="960"/>
      <c r="T42" s="960"/>
    </row>
    <row r="43" spans="8:8" ht="15.75">
      <c r="B43" s="988"/>
      <c r="C43" s="1039" t="s">
        <v>330</v>
      </c>
      <c r="D43" s="1040"/>
      <c r="E43" s="1041" t="str">
        <f>'ANNEXURE II'!C24</f>
        <v>80D Preventive Health Checkup  Dependent Parents</v>
      </c>
      <c r="F43" s="992">
        <f>'ANNEXURE II'!K24</f>
        <v>0.0</v>
      </c>
      <c r="G43" s="1030" t="str">
        <f t="shared" si="2" ref="G43:G49">IF(F43&gt;0,"RECEIPT PRODUCED","")</f>
        <v/>
      </c>
      <c r="H43" s="960"/>
      <c r="I43" s="960"/>
      <c r="J43" s="960"/>
      <c r="K43" s="960"/>
      <c r="L43" s="960"/>
      <c r="M43" s="960"/>
      <c r="N43" s="960"/>
      <c r="O43" s="960"/>
      <c r="P43" s="960"/>
      <c r="Q43" s="960"/>
      <c r="R43" s="960"/>
      <c r="S43" s="960"/>
      <c r="T43" s="960"/>
    </row>
    <row r="44" spans="8:8" ht="15.75">
      <c r="B44" s="988"/>
      <c r="C44" s="1039" t="s">
        <v>331</v>
      </c>
      <c r="D44" s="1040"/>
      <c r="E44" s="1041" t="str">
        <f>'ANNEXURE II'!C25</f>
        <v>80D Medical Insurance Premium  Spouse</v>
      </c>
      <c r="F44" s="992">
        <f>'ANNEXURE II'!K25</f>
        <v>0.0</v>
      </c>
      <c r="G44" s="1030" t="str">
        <f t="shared" si="2"/>
        <v/>
      </c>
      <c r="H44" s="960"/>
      <c r="I44" s="960"/>
      <c r="J44" s="960"/>
      <c r="K44" s="960"/>
      <c r="L44" s="960"/>
      <c r="M44" s="960"/>
      <c r="N44" s="960"/>
      <c r="O44" s="960"/>
      <c r="P44" s="960"/>
      <c r="Q44" s="960"/>
      <c r="R44" s="960"/>
      <c r="S44" s="960"/>
      <c r="T44" s="960"/>
    </row>
    <row r="45" spans="8:8" ht="15.75">
      <c r="B45" s="988"/>
      <c r="C45" s="1039" t="s">
        <v>332</v>
      </c>
      <c r="D45" s="1040"/>
      <c r="E45" s="1041" t="str">
        <f>'ANNEXURE II'!C26</f>
        <v>80G Donation of Charitable Trust Charitable Trust</v>
      </c>
      <c r="F45" s="992">
        <f>'ANNEXURE II'!K26</f>
        <v>0.0</v>
      </c>
      <c r="G45" s="1030" t="str">
        <f t="shared" si="2"/>
        <v/>
      </c>
      <c r="H45" s="960"/>
      <c r="I45" s="960"/>
      <c r="J45" s="960"/>
      <c r="K45" s="960"/>
      <c r="L45" s="960"/>
      <c r="M45" s="960"/>
      <c r="N45" s="960"/>
      <c r="O45" s="960"/>
      <c r="P45" s="960"/>
      <c r="Q45" s="960"/>
      <c r="R45" s="960"/>
      <c r="S45" s="960"/>
      <c r="T45" s="960"/>
    </row>
    <row r="46" spans="8:8" ht="15.75">
      <c r="B46" s="988"/>
      <c r="C46" s="1039" t="s">
        <v>333</v>
      </c>
      <c r="D46" s="1040"/>
      <c r="E46" s="1041" t="str">
        <f>'ANNEXURE II'!C28</f>
        <v>80U Deduction for disabled person &gt;40%</v>
      </c>
      <c r="F46" s="992">
        <f>'ANNEXURE II'!K28</f>
        <v>0.0</v>
      </c>
      <c r="G46" s="1030" t="str">
        <f t="shared" si="2"/>
        <v/>
      </c>
      <c r="H46" s="960"/>
      <c r="I46" s="1042"/>
      <c r="J46" s="960"/>
      <c r="K46" s="960"/>
      <c r="L46" s="960"/>
      <c r="M46" s="960"/>
      <c r="N46" s="960"/>
      <c r="O46" s="960"/>
      <c r="P46" s="960"/>
      <c r="Q46" s="960"/>
      <c r="R46" s="960"/>
      <c r="S46" s="960"/>
      <c r="T46" s="960"/>
    </row>
    <row r="47" spans="8:8" ht="15.75">
      <c r="B47" s="988"/>
      <c r="C47" s="1039" t="s">
        <v>334</v>
      </c>
      <c r="D47" s="1040"/>
      <c r="E47" s="1041" t="str">
        <f>'ANNEXURE II'!C29</f>
        <v>80D Deduction for Disabled dependent NotApplicable</v>
      </c>
      <c r="F47" s="992">
        <f>'ANNEXURE II'!K29</f>
        <v>0.0</v>
      </c>
      <c r="G47" s="1030" t="str">
        <f t="shared" si="2"/>
        <v/>
      </c>
      <c r="H47" s="960"/>
      <c r="I47" s="960"/>
      <c r="J47" s="960"/>
      <c r="K47" s="960"/>
      <c r="L47" s="960"/>
      <c r="M47" s="960"/>
      <c r="N47" s="960"/>
      <c r="O47" s="960"/>
      <c r="P47" s="960"/>
      <c r="Q47" s="960"/>
      <c r="R47" s="960"/>
      <c r="S47" s="960"/>
      <c r="T47" s="960"/>
    </row>
    <row r="48" spans="8:8" ht="15.75">
      <c r="B48" s="988"/>
      <c r="C48" s="1039"/>
      <c r="D48" s="1040"/>
      <c r="E48" s="1041" t="str">
        <f>'ANNEXURE II'!C30</f>
        <v>80E Interest on Educational Loan</v>
      </c>
      <c r="F48" s="992">
        <f>'ANNEXURE II'!K30</f>
        <v>0.0</v>
      </c>
      <c r="G48" s="1030" t="str">
        <f t="shared" si="2"/>
        <v/>
      </c>
      <c r="H48" s="960"/>
      <c r="I48" s="960"/>
      <c r="J48" s="960"/>
      <c r="K48" s="960"/>
      <c r="L48" s="960"/>
      <c r="M48" s="960"/>
      <c r="N48" s="960"/>
      <c r="O48" s="960"/>
      <c r="P48" s="960"/>
      <c r="Q48" s="960"/>
      <c r="R48" s="960"/>
      <c r="S48" s="960"/>
      <c r="T48" s="960"/>
    </row>
    <row r="49" spans="8:8" ht="15.75">
      <c r="B49" s="988"/>
      <c r="C49" s="1039"/>
      <c r="D49" s="1040"/>
      <c r="E49" s="1041" t="str">
        <f>'ANNEXURE II'!C31</f>
        <v>24B Interest of Housing Loan</v>
      </c>
      <c r="F49" s="992">
        <f>'ANNEXURE II'!K31</f>
        <v>0.0</v>
      </c>
      <c r="G49" s="1030" t="str">
        <f t="shared" si="2"/>
        <v/>
      </c>
      <c r="H49" s="960"/>
      <c r="I49" s="960"/>
      <c r="J49" s="960"/>
      <c r="K49" s="960"/>
      <c r="L49" s="960"/>
      <c r="M49" s="960"/>
      <c r="N49" s="960"/>
      <c r="O49" s="960"/>
      <c r="P49" s="960"/>
      <c r="Q49" s="960"/>
      <c r="R49" s="960"/>
      <c r="S49" s="960"/>
      <c r="T49" s="960"/>
    </row>
    <row r="50" spans="8:8" ht="15.75">
      <c r="B50" s="988"/>
      <c r="C50" s="1039"/>
      <c r="D50" s="1040"/>
      <c r="E50" s="1041" t="str">
        <f>'ANNEXURE II'!C32</f>
        <v>80G E.W.F, &amp; S.W.F</v>
      </c>
      <c r="F50" s="992">
        <f>'ANNEXURE II'!K32</f>
        <v>70.0</v>
      </c>
      <c r="G50" s="1030" t="str">
        <f>IF(F50&gt;0,"SALARY DEDUCTION","")</f>
        <v>SALARY DEDUCTION</v>
      </c>
      <c r="H50" s="960"/>
      <c r="I50" s="960"/>
      <c r="J50" s="960"/>
      <c r="K50" s="960"/>
      <c r="L50" s="960"/>
      <c r="M50" s="960"/>
      <c r="N50" s="960"/>
      <c r="O50" s="960"/>
      <c r="P50" s="960"/>
      <c r="Q50" s="960"/>
      <c r="R50" s="960"/>
      <c r="S50" s="960"/>
      <c r="T50" s="960"/>
    </row>
    <row r="51" spans="8:8" ht="15.75">
      <c r="B51" s="988"/>
      <c r="C51" s="1039"/>
      <c r="D51" s="1040"/>
      <c r="E51" s="1041" t="str">
        <f>'ANNEXURE II'!C33</f>
        <v>80D Contribution to Medical Heath Scheme</v>
      </c>
      <c r="F51" s="992">
        <f>'ANNEXURE II'!K33</f>
        <v>2430.0</v>
      </c>
      <c r="G51" s="1030" t="str">
        <f>IF(F51&gt;0,"SALARY DEDUCTION","")</f>
        <v>SALARY DEDUCTION</v>
      </c>
      <c r="H51" s="960"/>
      <c r="I51" s="960"/>
      <c r="J51" s="960"/>
      <c r="K51" s="960"/>
      <c r="L51" s="960"/>
      <c r="M51" s="960"/>
      <c r="N51" s="960"/>
      <c r="O51" s="960"/>
      <c r="P51" s="960"/>
      <c r="Q51" s="960"/>
      <c r="R51" s="960"/>
      <c r="S51" s="960"/>
      <c r="T51" s="960"/>
    </row>
    <row r="52" spans="8:8" ht="15.75">
      <c r="B52" s="988"/>
      <c r="C52" s="1039" t="s">
        <v>335</v>
      </c>
      <c r="D52" s="1043" t="s">
        <v>538</v>
      </c>
      <c r="E52" s="1041" t="str">
        <f>'ANNEXURE II'!B51</f>
        <v>National Pension Scheme U/s 80CCD(1)B</v>
      </c>
      <c r="F52" s="992">
        <f>'ANNEXURE II'!K51</f>
        <v>0.0</v>
      </c>
      <c r="G52" s="1030" t="str">
        <f>IF(AND(F52&gt;0,E29="CPS"),"SALARY DEDUCTION",IF(AND(F52&gt;0,E29="GPF"),"RECEIPT PRODUCED",IF(AND(F52&gt;0,E29="ZPPF"),"RECEIPT PRODUCED"," ")))</f>
        <v> </v>
      </c>
      <c r="H52" s="960"/>
      <c r="I52" s="960"/>
      <c r="J52" s="960"/>
      <c r="K52" s="960"/>
      <c r="L52" s="960"/>
      <c r="M52" s="960"/>
      <c r="N52" s="960"/>
      <c r="O52" s="960"/>
      <c r="P52" s="960"/>
      <c r="Q52" s="960"/>
      <c r="R52" s="960"/>
      <c r="S52" s="960"/>
      <c r="T52" s="960"/>
    </row>
    <row r="53" spans="8:8">
      <c r="B53" s="1001"/>
      <c r="C53" s="1044"/>
      <c r="D53" s="1045"/>
      <c r="E53" s="1046"/>
      <c r="F53" s="1047"/>
      <c r="G53" s="1018"/>
      <c r="H53" s="960"/>
      <c r="I53" s="960"/>
      <c r="J53" s="960"/>
      <c r="K53" s="960"/>
      <c r="L53" s="960"/>
      <c r="M53" s="960"/>
      <c r="N53" s="960"/>
      <c r="O53" s="960"/>
      <c r="P53" s="960"/>
      <c r="Q53" s="960"/>
      <c r="R53" s="960"/>
      <c r="S53" s="960"/>
      <c r="T53" s="960"/>
    </row>
    <row r="54" spans="8:8" ht="34.5" customHeight="1">
      <c r="B54" s="1048" t="s">
        <v>336</v>
      </c>
      <c r="C54" s="1049"/>
      <c r="D54" s="1049"/>
      <c r="E54" s="1049"/>
      <c r="F54" s="1049"/>
      <c r="G54" s="1050"/>
      <c r="H54" s="960"/>
      <c r="I54" s="960"/>
      <c r="J54" s="960"/>
      <c r="K54" s="960"/>
      <c r="L54" s="960"/>
      <c r="M54" s="960"/>
      <c r="N54" s="960"/>
      <c r="O54" s="960"/>
      <c r="P54" s="960"/>
      <c r="Q54" s="960"/>
      <c r="R54" s="960"/>
      <c r="S54" s="960"/>
      <c r="T54" s="960"/>
    </row>
    <row r="55" spans="8:8" ht="54.0" customHeight="1">
      <c r="B55" s="1051" t="str">
        <f>CONCATENATE("   I  ",Data!D4," , ","S/O ; D/O ","____________________________","working as ",UPPER(Data!D7),"      do hereby certify that the information given above is complete and correct.")</f>
        <v>   I  P. Pothan Prasad , S/O ; D/O ____________________________working as SGT      do hereby certify that the information given above is complete and correct.</v>
      </c>
      <c r="C55" s="1052"/>
      <c r="D55" s="1052"/>
      <c r="E55" s="1052"/>
      <c r="F55" s="1052"/>
      <c r="G55" s="1053"/>
      <c r="H55" s="960"/>
      <c r="I55" s="960"/>
      <c r="J55" s="960"/>
      <c r="K55" s="960"/>
      <c r="L55" s="960"/>
      <c r="M55" s="960"/>
      <c r="N55" s="960"/>
      <c r="O55" s="960"/>
      <c r="P55" s="960"/>
      <c r="Q55" s="960"/>
      <c r="R55" s="960"/>
      <c r="S55" s="960"/>
      <c r="T55" s="960"/>
    </row>
    <row r="56" spans="8:8" ht="24.95" customHeight="1">
      <c r="B56" s="1054" t="s">
        <v>337</v>
      </c>
      <c r="C56" s="1055"/>
      <c r="D56" s="1056" t="str">
        <f>Data!D10</f>
        <v>Pengalur</v>
      </c>
      <c r="E56" s="1056"/>
      <c r="F56" s="1057"/>
      <c r="G56" s="1058"/>
      <c r="H56" s="960"/>
      <c r="I56" s="960"/>
      <c r="J56" s="960"/>
      <c r="K56" s="960"/>
      <c r="L56" s="960"/>
      <c r="M56" s="960"/>
      <c r="N56" s="960"/>
      <c r="O56" s="960"/>
      <c r="P56" s="960"/>
      <c r="Q56" s="960"/>
      <c r="R56" s="960"/>
      <c r="S56" s="960"/>
      <c r="T56" s="960"/>
    </row>
    <row r="57" spans="8:8" ht="21.0" customHeight="1">
      <c r="B57" s="1059" t="s">
        <v>338</v>
      </c>
      <c r="C57" s="1060"/>
      <c r="D57" s="1061"/>
      <c r="E57" s="1061"/>
      <c r="F57" s="1062" t="s">
        <v>339</v>
      </c>
      <c r="G57" s="1063"/>
      <c r="H57" s="960"/>
      <c r="I57" s="960"/>
      <c r="J57" s="960"/>
      <c r="K57" s="960"/>
      <c r="L57" s="960"/>
      <c r="M57" s="960"/>
      <c r="N57" s="960"/>
      <c r="O57" s="960"/>
      <c r="P57" s="960"/>
      <c r="Q57" s="960"/>
      <c r="R57" s="960"/>
      <c r="S57" s="960"/>
      <c r="T57" s="960"/>
    </row>
    <row r="58" spans="8:8" ht="21.0" customHeight="1">
      <c r="B58" s="1064" t="s">
        <v>340</v>
      </c>
      <c r="C58" s="1065"/>
      <c r="D58" s="1066" t="str">
        <f>Data!D7</f>
        <v>SGT</v>
      </c>
      <c r="E58" s="1066"/>
      <c r="F58" s="1067" t="str">
        <f>CONCATENATE("FULL NAME : ",Data!D4)</f>
        <v>FULL NAME : P. Pothan Prasad</v>
      </c>
      <c r="G58" s="1068"/>
      <c r="H58" s="960"/>
      <c r="I58" s="960"/>
      <c r="J58" s="960"/>
      <c r="K58" s="960"/>
      <c r="L58" s="960"/>
      <c r="M58" s="960"/>
      <c r="N58" s="960"/>
      <c r="O58" s="960"/>
      <c r="P58" s="960"/>
      <c r="Q58" s="960"/>
      <c r="R58" s="960"/>
      <c r="S58" s="960"/>
      <c r="T58" s="960"/>
    </row>
    <row r="59" spans="8:8" ht="15.75">
      <c r="B59" s="1069"/>
      <c r="C59" s="1069"/>
      <c r="D59" s="1069"/>
      <c r="E59" s="1069"/>
      <c r="F59" s="1069"/>
      <c r="G59" s="1069"/>
      <c r="H59" s="960"/>
      <c r="I59" s="960"/>
      <c r="J59" s="960"/>
      <c r="K59" s="960"/>
      <c r="L59" s="960"/>
      <c r="M59" s="960"/>
      <c r="N59" s="960"/>
      <c r="O59" s="960"/>
      <c r="P59" s="960"/>
      <c r="Q59" s="960"/>
      <c r="R59" s="960"/>
      <c r="S59" s="960"/>
      <c r="T59" s="960"/>
    </row>
    <row r="60" spans="8:8">
      <c r="B60" s="960"/>
      <c r="C60" s="960"/>
      <c r="D60" s="960"/>
      <c r="E60" s="960"/>
      <c r="F60" s="1070"/>
      <c r="G60" s="1070"/>
      <c r="H60" s="960"/>
      <c r="I60" s="960"/>
      <c r="J60" s="960"/>
      <c r="K60" s="960"/>
      <c r="L60" s="960"/>
      <c r="M60" s="960"/>
      <c r="N60" s="960"/>
      <c r="O60" s="960"/>
      <c r="P60" s="960"/>
      <c r="Q60" s="960"/>
      <c r="R60" s="960"/>
      <c r="S60" s="960"/>
      <c r="T60" s="960"/>
    </row>
    <row r="61" spans="8:8">
      <c r="B61" s="960"/>
      <c r="C61" s="960"/>
      <c r="D61" s="960"/>
      <c r="E61" s="960"/>
      <c r="F61" s="1070"/>
      <c r="G61" s="1070"/>
      <c r="H61" s="960"/>
      <c r="I61" s="960"/>
      <c r="J61" s="960"/>
      <c r="K61" s="960"/>
      <c r="L61" s="960"/>
      <c r="M61" s="960"/>
      <c r="N61" s="960"/>
      <c r="O61" s="960"/>
      <c r="P61" s="960"/>
      <c r="Q61" s="960"/>
      <c r="R61" s="960"/>
      <c r="S61" s="960"/>
      <c r="T61" s="960"/>
    </row>
    <row r="62" spans="8:8">
      <c r="B62" s="960"/>
      <c r="C62" s="960"/>
      <c r="D62" s="960"/>
      <c r="E62" s="960"/>
      <c r="F62" s="1070"/>
      <c r="G62" s="1070"/>
      <c r="H62" s="960"/>
      <c r="I62" s="960"/>
      <c r="J62" s="960"/>
      <c r="K62" s="960"/>
      <c r="L62" s="960"/>
      <c r="M62" s="960"/>
      <c r="N62" s="960"/>
      <c r="O62" s="960"/>
      <c r="P62" s="960"/>
      <c r="Q62" s="960"/>
      <c r="R62" s="960"/>
      <c r="S62" s="960"/>
      <c r="T62" s="960"/>
    </row>
    <row r="63" spans="8:8">
      <c r="B63" s="960"/>
      <c r="C63" s="960"/>
      <c r="D63" s="960"/>
      <c r="E63" s="960"/>
      <c r="F63" s="1070"/>
      <c r="G63" s="1070"/>
      <c r="H63" s="960"/>
      <c r="I63" s="960"/>
      <c r="J63" s="960"/>
      <c r="K63" s="960"/>
      <c r="L63" s="960"/>
      <c r="M63" s="960"/>
      <c r="N63" s="960"/>
      <c r="O63" s="960"/>
      <c r="P63" s="960"/>
      <c r="Q63" s="960"/>
      <c r="R63" s="960"/>
      <c r="S63" s="960"/>
      <c r="T63" s="960"/>
    </row>
    <row r="64" spans="8:8">
      <c r="B64" s="960"/>
      <c r="C64" s="960"/>
      <c r="D64" s="960"/>
      <c r="E64" s="960"/>
      <c r="F64" s="1070"/>
      <c r="G64" s="1070"/>
      <c r="H64" s="960"/>
      <c r="I64" s="960"/>
      <c r="J64" s="960"/>
      <c r="K64" s="960"/>
      <c r="L64" s="960"/>
      <c r="M64" s="960"/>
      <c r="N64" s="960"/>
      <c r="O64" s="960"/>
      <c r="P64" s="960"/>
      <c r="Q64" s="960"/>
      <c r="R64" s="960"/>
      <c r="S64" s="960"/>
      <c r="T64" s="960"/>
    </row>
    <row r="65" spans="8:8">
      <c r="B65" s="960"/>
      <c r="C65" s="960"/>
      <c r="D65" s="960"/>
      <c r="E65" s="960"/>
      <c r="F65" s="1070"/>
      <c r="G65" s="1070"/>
      <c r="H65" s="960"/>
      <c r="I65" s="960"/>
      <c r="J65" s="960"/>
      <c r="K65" s="960"/>
      <c r="L65" s="960"/>
      <c r="M65" s="960"/>
      <c r="N65" s="960"/>
      <c r="O65" s="960"/>
      <c r="P65" s="960"/>
      <c r="Q65" s="960"/>
      <c r="R65" s="960"/>
      <c r="S65" s="960"/>
      <c r="T65" s="960"/>
    </row>
    <row r="66" spans="8:8">
      <c r="B66" s="960"/>
      <c r="C66" s="960"/>
      <c r="D66" s="960"/>
      <c r="E66" s="960"/>
      <c r="F66" s="1070"/>
      <c r="G66" s="1070"/>
      <c r="H66" s="960"/>
      <c r="I66" s="960"/>
      <c r="J66" s="960"/>
      <c r="K66" s="960"/>
      <c r="L66" s="960"/>
      <c r="M66" s="960"/>
      <c r="N66" s="960"/>
      <c r="O66" s="960"/>
      <c r="P66" s="960"/>
      <c r="Q66" s="960"/>
      <c r="R66" s="960"/>
      <c r="S66" s="960"/>
      <c r="T66" s="960"/>
    </row>
    <row r="67" spans="8:8">
      <c r="B67" s="960"/>
      <c r="C67" s="960"/>
      <c r="D67" s="960"/>
      <c r="E67" s="960"/>
      <c r="F67" s="1070"/>
      <c r="G67" s="1070"/>
      <c r="H67" s="960"/>
      <c r="I67" s="960"/>
      <c r="J67" s="960"/>
      <c r="K67" s="960"/>
      <c r="L67" s="960"/>
      <c r="M67" s="960"/>
      <c r="N67" s="960"/>
      <c r="O67" s="960"/>
      <c r="P67" s="960"/>
      <c r="Q67" s="960"/>
      <c r="R67" s="960"/>
      <c r="S67" s="960"/>
      <c r="T67" s="960"/>
    </row>
    <row r="68" spans="8:8">
      <c r="B68" s="960"/>
      <c r="C68" s="960"/>
      <c r="D68" s="960"/>
      <c r="E68" s="960"/>
      <c r="F68" s="1070"/>
      <c r="G68" s="1070"/>
      <c r="H68" s="960"/>
      <c r="I68" s="960"/>
      <c r="J68" s="960"/>
      <c r="K68" s="960"/>
      <c r="L68" s="960"/>
      <c r="M68" s="960"/>
      <c r="N68" s="960"/>
      <c r="O68" s="960"/>
      <c r="P68" s="960"/>
      <c r="Q68" s="960"/>
      <c r="R68" s="960"/>
      <c r="S68" s="960"/>
      <c r="T68" s="960"/>
    </row>
    <row r="69" spans="8:8">
      <c r="B69" s="960"/>
      <c r="C69" s="960"/>
      <c r="D69" s="960"/>
      <c r="E69" s="960"/>
      <c r="F69" s="1070"/>
      <c r="G69" s="1070"/>
      <c r="H69" s="960"/>
      <c r="I69" s="960"/>
      <c r="J69" s="960"/>
      <c r="K69" s="960"/>
      <c r="L69" s="960"/>
      <c r="M69" s="960"/>
      <c r="N69" s="960"/>
      <c r="O69" s="960"/>
      <c r="P69" s="960"/>
      <c r="Q69" s="960"/>
      <c r="R69" s="960"/>
      <c r="S69" s="960"/>
      <c r="T69" s="960"/>
    </row>
    <row r="70" spans="8:8">
      <c r="B70" s="960"/>
      <c r="C70" s="960"/>
      <c r="D70" s="960"/>
      <c r="E70" s="960"/>
      <c r="F70" s="1070"/>
      <c r="G70" s="1070"/>
      <c r="H70" s="960"/>
      <c r="I70" s="960"/>
      <c r="J70" s="960"/>
      <c r="K70" s="960"/>
      <c r="L70" s="960"/>
      <c r="M70" s="960"/>
      <c r="N70" s="960"/>
      <c r="O70" s="960"/>
      <c r="P70" s="960"/>
      <c r="Q70" s="960"/>
      <c r="R70" s="960"/>
      <c r="S70" s="960"/>
      <c r="T70" s="960"/>
    </row>
    <row r="71" spans="8:8">
      <c r="B71" s="960"/>
      <c r="C71" s="960"/>
      <c r="D71" s="960"/>
      <c r="E71" s="960"/>
      <c r="F71" s="1070"/>
      <c r="G71" s="1070"/>
      <c r="H71" s="960"/>
      <c r="I71" s="960"/>
      <c r="J71" s="960"/>
      <c r="K71" s="960"/>
      <c r="L71" s="960"/>
      <c r="M71" s="960"/>
      <c r="N71" s="960"/>
      <c r="O71" s="960"/>
      <c r="P71" s="960"/>
      <c r="Q71" s="960"/>
      <c r="R71" s="960"/>
      <c r="S71" s="960"/>
      <c r="T71" s="960"/>
    </row>
    <row r="72" spans="8:8">
      <c r="B72" s="960"/>
      <c r="C72" s="960"/>
      <c r="D72" s="960"/>
      <c r="E72" s="960"/>
      <c r="F72" s="1070"/>
      <c r="G72" s="1070"/>
      <c r="H72" s="960"/>
      <c r="I72" s="960"/>
      <c r="J72" s="960"/>
      <c r="K72" s="960"/>
      <c r="L72" s="960"/>
      <c r="M72" s="960"/>
      <c r="N72" s="960"/>
      <c r="O72" s="960"/>
      <c r="P72" s="960"/>
      <c r="Q72" s="960"/>
      <c r="R72" s="960"/>
      <c r="S72" s="960"/>
      <c r="T72" s="960"/>
    </row>
    <row r="73" spans="8:8">
      <c r="B73" s="960"/>
      <c r="C73" s="960"/>
      <c r="D73" s="960"/>
      <c r="E73" s="960"/>
      <c r="F73" s="1070"/>
      <c r="G73" s="1070"/>
      <c r="H73" s="960"/>
      <c r="I73" s="960"/>
      <c r="J73" s="960"/>
      <c r="K73" s="960"/>
      <c r="L73" s="960"/>
      <c r="M73" s="960"/>
      <c r="N73" s="960"/>
      <c r="O73" s="960"/>
      <c r="P73" s="960"/>
      <c r="Q73" s="960"/>
      <c r="R73" s="960"/>
      <c r="S73" s="960"/>
      <c r="T73" s="960"/>
    </row>
    <row r="74" spans="8:8">
      <c r="B74" s="960"/>
      <c r="C74" s="960"/>
      <c r="D74" s="960"/>
      <c r="E74" s="960"/>
      <c r="F74" s="1070"/>
      <c r="G74" s="1070"/>
      <c r="H74" s="960"/>
      <c r="I74" s="960"/>
      <c r="J74" s="960"/>
      <c r="K74" s="960"/>
      <c r="L74" s="960"/>
      <c r="M74" s="960"/>
      <c r="N74" s="960"/>
      <c r="O74" s="960"/>
      <c r="P74" s="960"/>
      <c r="Q74" s="960"/>
      <c r="R74" s="960"/>
      <c r="S74" s="960"/>
      <c r="T74" s="960"/>
    </row>
    <row r="75" spans="8:8">
      <c r="B75" s="960"/>
      <c r="C75" s="960"/>
      <c r="D75" s="960"/>
      <c r="E75" s="960"/>
      <c r="F75" s="1070"/>
      <c r="G75" s="1070"/>
      <c r="H75" s="960"/>
      <c r="I75" s="960"/>
      <c r="J75" s="960"/>
      <c r="K75" s="960"/>
      <c r="L75" s="960"/>
      <c r="M75" s="960"/>
      <c r="N75" s="960"/>
      <c r="O75" s="960"/>
      <c r="P75" s="960"/>
      <c r="Q75" s="960"/>
      <c r="R75" s="960"/>
      <c r="S75" s="960"/>
      <c r="T75" s="960"/>
    </row>
    <row r="76" spans="8:8">
      <c r="B76" s="960"/>
      <c r="C76" s="960"/>
      <c r="D76" s="960"/>
      <c r="E76" s="960"/>
      <c r="F76" s="1070"/>
      <c r="G76" s="1070"/>
      <c r="H76" s="960"/>
      <c r="I76" s="960"/>
      <c r="J76" s="960"/>
      <c r="K76" s="960"/>
      <c r="L76" s="960"/>
      <c r="M76" s="960"/>
      <c r="N76" s="960"/>
      <c r="O76" s="960"/>
      <c r="P76" s="960"/>
      <c r="Q76" s="960"/>
      <c r="R76" s="960"/>
      <c r="S76" s="960"/>
      <c r="T76" s="960"/>
    </row>
    <row r="77" spans="8:8">
      <c r="B77" s="960"/>
      <c r="C77" s="960"/>
      <c r="D77" s="960"/>
      <c r="E77" s="960"/>
      <c r="F77" s="1070"/>
      <c r="G77" s="1070"/>
      <c r="H77" s="960"/>
      <c r="I77" s="960"/>
      <c r="J77" s="960"/>
      <c r="K77" s="960"/>
      <c r="L77" s="960"/>
      <c r="M77" s="960"/>
      <c r="N77" s="960"/>
      <c r="O77" s="960"/>
      <c r="P77" s="960"/>
      <c r="Q77" s="960"/>
      <c r="R77" s="960"/>
      <c r="S77" s="960"/>
      <c r="T77" s="960"/>
    </row>
    <row r="78" spans="8:8">
      <c r="B78" s="960"/>
      <c r="C78" s="960"/>
      <c r="D78" s="960"/>
      <c r="E78" s="960"/>
      <c r="F78" s="1070"/>
      <c r="G78" s="1070"/>
      <c r="H78" s="960"/>
      <c r="I78" s="960"/>
      <c r="J78" s="960"/>
      <c r="K78" s="960"/>
      <c r="L78" s="960"/>
      <c r="M78" s="960"/>
      <c r="N78" s="960"/>
      <c r="O78" s="960"/>
      <c r="P78" s="960"/>
      <c r="Q78" s="960"/>
      <c r="R78" s="960"/>
      <c r="S78" s="960"/>
      <c r="T78" s="960"/>
    </row>
    <row r="79" spans="8:8">
      <c r="B79" s="960"/>
      <c r="C79" s="960"/>
      <c r="D79" s="960"/>
      <c r="E79" s="960"/>
      <c r="F79" s="1070"/>
      <c r="G79" s="1070"/>
      <c r="H79" s="960"/>
      <c r="I79" s="960"/>
      <c r="J79" s="960"/>
      <c r="K79" s="960"/>
      <c r="L79" s="960"/>
      <c r="M79" s="960"/>
      <c r="N79" s="960"/>
      <c r="O79" s="960"/>
      <c r="P79" s="960"/>
      <c r="Q79" s="960"/>
      <c r="R79" s="960"/>
      <c r="S79" s="960"/>
      <c r="T79" s="960"/>
    </row>
    <row r="80" spans="8:8">
      <c r="B80" s="960"/>
      <c r="C80" s="960"/>
      <c r="D80" s="960"/>
      <c r="E80" s="960"/>
      <c r="F80" s="1070"/>
      <c r="G80" s="1070"/>
      <c r="H80" s="960"/>
      <c r="I80" s="960"/>
      <c r="J80" s="960"/>
      <c r="K80" s="960"/>
      <c r="L80" s="960"/>
      <c r="M80" s="960"/>
      <c r="N80" s="960"/>
      <c r="O80" s="960"/>
      <c r="P80" s="960"/>
      <c r="Q80" s="960"/>
      <c r="R80" s="960"/>
      <c r="S80" s="960"/>
      <c r="T80" s="960"/>
    </row>
    <row r="81" spans="8:8">
      <c r="B81" s="960"/>
      <c r="C81" s="960"/>
      <c r="D81" s="960"/>
      <c r="E81" s="960"/>
      <c r="F81" s="1070"/>
      <c r="G81" s="1070"/>
      <c r="H81" s="960"/>
      <c r="I81" s="960"/>
      <c r="J81" s="960"/>
      <c r="K81" s="960"/>
      <c r="L81" s="960"/>
      <c r="M81" s="960"/>
      <c r="N81" s="960"/>
      <c r="O81" s="960"/>
      <c r="P81" s="960"/>
      <c r="Q81" s="960"/>
      <c r="R81" s="960"/>
      <c r="S81" s="960"/>
      <c r="T81" s="960"/>
    </row>
    <row r="82" spans="8:8">
      <c r="B82" s="960"/>
      <c r="C82" s="960"/>
      <c r="D82" s="960"/>
      <c r="E82" s="960"/>
      <c r="F82" s="1070"/>
      <c r="G82" s="1070"/>
      <c r="H82" s="960"/>
      <c r="I82" s="960"/>
      <c r="J82" s="960"/>
      <c r="K82" s="960"/>
      <c r="L82" s="960"/>
      <c r="M82" s="960"/>
      <c r="N82" s="960"/>
      <c r="O82" s="960"/>
      <c r="P82" s="960"/>
      <c r="Q82" s="960"/>
      <c r="R82" s="960"/>
      <c r="S82" s="960"/>
      <c r="T82" s="960"/>
    </row>
    <row r="83" spans="8:8">
      <c r="B83" s="960"/>
      <c r="C83" s="960"/>
      <c r="D83" s="960"/>
      <c r="E83" s="960"/>
      <c r="F83" s="1070"/>
      <c r="G83" s="1070"/>
      <c r="H83" s="960"/>
      <c r="I83" s="960"/>
      <c r="J83" s="960"/>
      <c r="K83" s="960"/>
      <c r="L83" s="960"/>
      <c r="M83" s="960"/>
      <c r="N83" s="960"/>
      <c r="O83" s="960"/>
      <c r="P83" s="960"/>
      <c r="Q83" s="960"/>
      <c r="R83" s="960"/>
      <c r="S83" s="960"/>
      <c r="T83" s="960"/>
    </row>
    <row r="84" spans="8:8">
      <c r="B84" s="960"/>
      <c r="C84" s="960"/>
      <c r="D84" s="960"/>
      <c r="E84" s="960"/>
      <c r="F84" s="1070"/>
      <c r="G84" s="1070"/>
      <c r="H84" s="960"/>
      <c r="I84" s="960"/>
      <c r="J84" s="960"/>
      <c r="K84" s="960"/>
      <c r="L84" s="960"/>
      <c r="M84" s="960"/>
      <c r="N84" s="960"/>
      <c r="O84" s="960"/>
      <c r="P84" s="960"/>
      <c r="Q84" s="960"/>
      <c r="R84" s="960"/>
      <c r="S84" s="960"/>
      <c r="T84" s="960"/>
    </row>
    <row r="85" spans="8:8">
      <c r="B85" s="960"/>
      <c r="C85" s="960"/>
      <c r="D85" s="960"/>
      <c r="E85" s="960"/>
      <c r="F85" s="1070"/>
      <c r="G85" s="1070"/>
      <c r="H85" s="960"/>
      <c r="I85" s="960"/>
      <c r="J85" s="960"/>
      <c r="K85" s="960"/>
      <c r="L85" s="960"/>
      <c r="M85" s="960"/>
      <c r="N85" s="960"/>
      <c r="O85" s="960"/>
      <c r="P85" s="960"/>
      <c r="Q85" s="960"/>
      <c r="R85" s="960"/>
      <c r="S85" s="960"/>
      <c r="T85" s="960"/>
    </row>
    <row r="86" spans="8:8">
      <c r="B86" s="960"/>
      <c r="C86" s="960"/>
      <c r="D86" s="960"/>
      <c r="E86" s="960"/>
      <c r="F86" s="1070"/>
      <c r="G86" s="1070"/>
      <c r="H86" s="960"/>
      <c r="I86" s="960"/>
      <c r="J86" s="960"/>
      <c r="K86" s="960"/>
      <c r="L86" s="960"/>
      <c r="M86" s="960"/>
      <c r="N86" s="960"/>
      <c r="O86" s="960"/>
      <c r="P86" s="960"/>
      <c r="Q86" s="960"/>
      <c r="R86" s="960"/>
      <c r="S86" s="960"/>
      <c r="T86" s="960"/>
    </row>
    <row r="87" spans="8:8">
      <c r="B87" s="960"/>
      <c r="C87" s="960"/>
      <c r="D87" s="960"/>
      <c r="E87" s="960"/>
      <c r="F87" s="1070"/>
      <c r="G87" s="1070"/>
      <c r="H87" s="960"/>
      <c r="I87" s="960"/>
      <c r="J87" s="960"/>
      <c r="K87" s="960"/>
      <c r="L87" s="960"/>
      <c r="M87" s="960"/>
      <c r="N87" s="960"/>
      <c r="O87" s="960"/>
      <c r="P87" s="960"/>
      <c r="Q87" s="960"/>
      <c r="R87" s="960"/>
      <c r="S87" s="960"/>
      <c r="T87" s="960"/>
    </row>
    <row r="88" spans="8:8">
      <c r="B88" s="960"/>
      <c r="C88" s="960"/>
      <c r="D88" s="960"/>
      <c r="E88" s="960"/>
      <c r="F88" s="1070"/>
      <c r="G88" s="1070"/>
      <c r="H88" s="960"/>
      <c r="I88" s="960"/>
      <c r="J88" s="960"/>
      <c r="K88" s="960"/>
      <c r="L88" s="960"/>
      <c r="M88" s="960"/>
      <c r="N88" s="960"/>
      <c r="O88" s="960"/>
      <c r="P88" s="960"/>
      <c r="Q88" s="960"/>
      <c r="R88" s="960"/>
      <c r="S88" s="960"/>
      <c r="T88" s="960"/>
    </row>
    <row r="89" spans="8:8">
      <c r="B89" s="960"/>
      <c r="C89" s="960"/>
      <c r="D89" s="960"/>
      <c r="E89" s="960"/>
      <c r="F89" s="1070"/>
      <c r="G89" s="1070"/>
      <c r="H89" s="960"/>
      <c r="I89" s="960"/>
      <c r="J89" s="960"/>
      <c r="K89" s="960"/>
      <c r="L89" s="960"/>
      <c r="M89" s="960"/>
      <c r="N89" s="960"/>
      <c r="O89" s="960"/>
      <c r="P89" s="960"/>
      <c r="Q89" s="960"/>
      <c r="R89" s="960"/>
      <c r="S89" s="960"/>
      <c r="T89" s="960"/>
    </row>
    <row r="90" spans="8:8">
      <c r="B90" s="960"/>
      <c r="C90" s="960"/>
      <c r="D90" s="960"/>
      <c r="E90" s="960"/>
      <c r="F90" s="1070"/>
      <c r="G90" s="1070"/>
      <c r="H90" s="960"/>
      <c r="I90" s="960"/>
      <c r="J90" s="960"/>
      <c r="K90" s="960"/>
      <c r="L90" s="960"/>
      <c r="M90" s="960"/>
      <c r="N90" s="960"/>
      <c r="O90" s="960"/>
      <c r="P90" s="960"/>
      <c r="Q90" s="960"/>
      <c r="R90" s="960"/>
      <c r="S90" s="960"/>
      <c r="T90" s="960"/>
    </row>
    <row r="91" spans="8:8">
      <c r="B91" s="960"/>
      <c r="C91" s="960"/>
      <c r="D91" s="960"/>
      <c r="E91" s="960"/>
      <c r="F91" s="1070"/>
      <c r="G91" s="1070"/>
      <c r="H91" s="960"/>
      <c r="I91" s="960"/>
      <c r="J91" s="960"/>
      <c r="K91" s="960"/>
      <c r="L91" s="960"/>
      <c r="M91" s="960"/>
      <c r="N91" s="960"/>
      <c r="O91" s="960"/>
      <c r="P91" s="960"/>
      <c r="Q91" s="960"/>
      <c r="R91" s="960"/>
      <c r="S91" s="960"/>
      <c r="T91" s="960"/>
    </row>
    <row r="92" spans="8:8">
      <c r="B92" s="960"/>
      <c r="C92" s="960"/>
      <c r="D92" s="960"/>
      <c r="E92" s="960"/>
      <c r="F92" s="1070"/>
      <c r="G92" s="1070"/>
      <c r="H92" s="960"/>
      <c r="I92" s="960"/>
      <c r="J92" s="960"/>
      <c r="K92" s="960"/>
      <c r="L92" s="960"/>
      <c r="M92" s="960"/>
      <c r="N92" s="960"/>
      <c r="O92" s="960"/>
      <c r="P92" s="960"/>
      <c r="Q92" s="960"/>
      <c r="R92" s="960"/>
      <c r="S92" s="960"/>
      <c r="T92" s="960"/>
    </row>
    <row r="93" spans="8:8">
      <c r="B93" s="960"/>
      <c r="C93" s="960"/>
      <c r="D93" s="960"/>
      <c r="E93" s="960"/>
      <c r="F93" s="1070"/>
      <c r="G93" s="1070"/>
      <c r="H93" s="960"/>
      <c r="I93" s="960"/>
      <c r="J93" s="960"/>
      <c r="K93" s="960"/>
      <c r="L93" s="960"/>
      <c r="M93" s="960"/>
      <c r="N93" s="960"/>
      <c r="O93" s="960"/>
      <c r="P93" s="960"/>
      <c r="Q93" s="960"/>
      <c r="R93" s="960"/>
      <c r="S93" s="960"/>
      <c r="T93" s="960"/>
    </row>
    <row r="94" spans="8:8">
      <c r="B94" s="960"/>
      <c r="C94" s="960"/>
      <c r="D94" s="960"/>
      <c r="E94" s="960"/>
      <c r="F94" s="1070"/>
      <c r="G94" s="1070"/>
      <c r="H94" s="960"/>
      <c r="I94" s="960"/>
      <c r="J94" s="960"/>
      <c r="K94" s="960"/>
      <c r="L94" s="960"/>
      <c r="M94" s="960"/>
      <c r="N94" s="960"/>
      <c r="O94" s="960"/>
      <c r="P94" s="960"/>
      <c r="Q94" s="960"/>
      <c r="R94" s="960"/>
      <c r="S94" s="960"/>
      <c r="T94" s="960"/>
    </row>
  </sheetData>
  <mergeCells count="40">
    <mergeCell ref="B55:G55"/>
    <mergeCell ref="C28:E28"/>
    <mergeCell ref="D57:E57"/>
    <mergeCell ref="B58:C58"/>
    <mergeCell ref="D56:E56"/>
    <mergeCell ref="B59:G59"/>
    <mergeCell ref="B4:G4"/>
    <mergeCell ref="C23:E23"/>
    <mergeCell ref="C11:E11"/>
    <mergeCell ref="C24:E24"/>
    <mergeCell ref="C20:E20"/>
    <mergeCell ref="C18:E18"/>
    <mergeCell ref="C19:E19"/>
    <mergeCell ref="C16:E16"/>
    <mergeCell ref="C15:E15"/>
    <mergeCell ref="F57:G57"/>
    <mergeCell ref="C13:E13"/>
    <mergeCell ref="B8:G8"/>
    <mergeCell ref="B9:G9"/>
    <mergeCell ref="C21:E21"/>
    <mergeCell ref="C27:E27"/>
    <mergeCell ref="C12:E12"/>
    <mergeCell ref="B6:G6"/>
    <mergeCell ref="C22:E22"/>
    <mergeCell ref="B2:G2"/>
    <mergeCell ref="C26:E26"/>
    <mergeCell ref="F56:G56"/>
    <mergeCell ref="B56:C56"/>
    <mergeCell ref="D58:E58"/>
    <mergeCell ref="C25:E25"/>
    <mergeCell ref="C10:E10"/>
    <mergeCell ref="C14:F14"/>
    <mergeCell ref="B57:C57"/>
    <mergeCell ref="B5:G5"/>
    <mergeCell ref="B3:G3"/>
    <mergeCell ref="C17:E17"/>
    <mergeCell ref="B54:G54"/>
    <mergeCell ref="F58:G58"/>
    <mergeCell ref="C41:E41"/>
    <mergeCell ref="B7:G7"/>
  </mergeCells>
  <printOptions horizontalCentered="1" verticalCentered="1"/>
  <pageMargins left="0.7086614173228347" right="0.7086614173228347" top="0.35433070866141736" bottom="0.35433070866141736" header="0.31496062992125984" footer="0.31496062992125984"/>
  <pageSetup paperSize="9" scale="76"/>
  <headerFooter>
    <oddFooter>&amp;C&amp;"Book Antiqua,Regular"&amp;9STU,Chitvel (M),Kadapa (Dt)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tabColor rgb="FF002060"/>
  </sheetPr>
  <dimension ref="A1:BM433"/>
  <sheetViews>
    <sheetView workbookViewId="0" showGridLines="0" showRowColHeaders="0">
      <selection activeCell="C3" sqref="C3:L3"/>
    </sheetView>
  </sheetViews>
  <sheetFormatPr defaultRowHeight="15.0" defaultColWidth="10"/>
  <cols>
    <col min="1" max="1" customWidth="1" width="4.140625" style="0"/>
    <col min="2" max="2" customWidth="1" width="3.2851562" style="0"/>
    <col min="12" max="12" customWidth="1" width="16.425781" style="0"/>
    <col min="14" max="16384" customWidth="0" width="9.140625" style="892"/>
  </cols>
  <sheetData>
    <row r="1" spans="8:8" ht="15.75" customFormat="1">
      <c r="A1" s="1071"/>
      <c r="B1" s="1071"/>
      <c r="C1" s="1071"/>
      <c r="D1" s="1071"/>
      <c r="E1" s="1071"/>
      <c r="F1" s="1071"/>
      <c r="G1" s="1071"/>
      <c r="H1" s="1071"/>
      <c r="I1" s="1071"/>
      <c r="J1" s="1071"/>
      <c r="K1" s="1071"/>
      <c r="L1" s="1071"/>
      <c r="M1" s="1071"/>
      <c r="N1" s="1071"/>
      <c r="O1" s="892"/>
      <c r="P1" s="892"/>
      <c r="Q1" s="892"/>
      <c r="R1" s="892"/>
      <c r="S1" s="892"/>
      <c r="T1" s="892"/>
      <c r="U1" s="892"/>
      <c r="V1" s="892"/>
      <c r="W1" s="892"/>
      <c r="X1" s="892"/>
      <c r="Y1" s="892"/>
      <c r="Z1" s="892"/>
      <c r="AA1" s="892"/>
      <c r="AB1" s="892"/>
      <c r="AC1" s="892"/>
      <c r="AD1" s="892"/>
      <c r="AE1" s="892"/>
      <c r="AF1" s="892"/>
      <c r="AG1" s="892"/>
      <c r="AH1" s="892"/>
      <c r="AI1" s="892"/>
      <c r="AJ1" s="892"/>
      <c r="AK1" s="892"/>
      <c r="AL1" s="892"/>
      <c r="AM1" s="892"/>
      <c r="AN1" s="892"/>
      <c r="AO1" s="892"/>
      <c r="AP1" s="892"/>
      <c r="AQ1" s="892"/>
      <c r="AR1" s="892"/>
      <c r="AS1" s="892"/>
      <c r="AT1" s="892"/>
      <c r="AU1" s="892"/>
      <c r="AV1" s="892"/>
      <c r="AW1" s="892"/>
      <c r="AX1" s="892"/>
      <c r="AY1" s="892"/>
      <c r="AZ1" s="892"/>
      <c r="BA1" s="892"/>
      <c r="BB1" s="892"/>
      <c r="BC1" s="892"/>
      <c r="BD1" s="892"/>
      <c r="BE1" s="892"/>
      <c r="BF1" s="892"/>
      <c r="BG1" s="892"/>
      <c r="BH1" s="892"/>
      <c r="BI1" s="892"/>
      <c r="BJ1" s="892"/>
    </row>
    <row r="2" spans="8:8">
      <c r="A2" s="1071"/>
      <c r="B2" s="1072"/>
      <c r="C2" s="1073"/>
      <c r="D2" s="1073"/>
      <c r="E2" s="1073"/>
      <c r="F2" s="1073"/>
      <c r="G2" s="1073"/>
      <c r="H2" s="1073"/>
      <c r="I2" s="1073"/>
      <c r="J2" s="1073"/>
      <c r="K2" s="1073"/>
      <c r="L2" s="1074"/>
      <c r="M2" s="1071"/>
      <c r="N2" s="1071"/>
    </row>
    <row r="3" spans="8:8" ht="15.75">
      <c r="A3" s="1071"/>
      <c r="B3" s="1075"/>
      <c r="C3" s="1076" t="s">
        <v>371</v>
      </c>
      <c r="D3" s="1076"/>
      <c r="E3" s="1076"/>
      <c r="F3" s="1076"/>
      <c r="G3" s="1076"/>
      <c r="H3" s="1076"/>
      <c r="I3" s="1076"/>
      <c r="J3" s="1076"/>
      <c r="K3" s="1076"/>
      <c r="L3" s="1077"/>
      <c r="M3" s="1071"/>
      <c r="N3" s="1071"/>
    </row>
    <row r="4" spans="8:8" ht="15.75">
      <c r="A4" s="1071"/>
      <c r="B4" s="1075"/>
      <c r="C4" s="1076" t="s">
        <v>372</v>
      </c>
      <c r="D4" s="1076"/>
      <c r="E4" s="1076"/>
      <c r="F4" s="1076"/>
      <c r="G4" s="1076"/>
      <c r="H4" s="1076"/>
      <c r="I4" s="1076"/>
      <c r="J4" s="1076"/>
      <c r="K4" s="1076"/>
      <c r="L4" s="1077"/>
      <c r="M4" s="1071"/>
      <c r="N4" s="1071"/>
    </row>
    <row r="5" spans="8:8" ht="15.75">
      <c r="A5" s="1071"/>
      <c r="B5" s="1075"/>
      <c r="C5" s="1076" t="s">
        <v>373</v>
      </c>
      <c r="D5" s="1076"/>
      <c r="E5" s="1076"/>
      <c r="F5" s="1076"/>
      <c r="G5" s="1076"/>
      <c r="H5" s="1076"/>
      <c r="I5" s="1076"/>
      <c r="J5" s="1076"/>
      <c r="K5" s="1076"/>
      <c r="L5" s="1077"/>
      <c r="M5" s="1071"/>
      <c r="N5" s="1071"/>
    </row>
    <row r="6" spans="8:8" ht="15.75">
      <c r="A6" s="1071"/>
      <c r="B6" s="1075"/>
      <c r="C6" s="1078"/>
      <c r="D6" s="1078"/>
      <c r="E6" s="1078"/>
      <c r="F6" s="1078"/>
      <c r="G6" s="1078"/>
      <c r="H6" s="1078"/>
      <c r="I6" s="1078"/>
      <c r="J6" s="1078"/>
      <c r="K6" s="1078"/>
      <c r="L6" s="1079"/>
      <c r="M6" s="1071"/>
      <c r="N6" s="1071"/>
    </row>
    <row r="7" spans="8:8">
      <c r="A7" s="1071"/>
      <c r="B7" s="1075"/>
      <c r="C7" s="1080" t="s">
        <v>374</v>
      </c>
      <c r="D7" s="1080"/>
      <c r="E7" s="1080"/>
      <c r="F7" s="1080"/>
      <c r="G7" s="1080"/>
      <c r="H7" s="1080"/>
      <c r="I7" s="1080"/>
      <c r="J7" s="1080"/>
      <c r="K7" s="1080"/>
      <c r="L7" s="1081"/>
      <c r="M7" s="1071"/>
      <c r="N7" s="1071"/>
    </row>
    <row r="8" spans="8:8">
      <c r="A8" s="1071"/>
      <c r="B8" s="1075"/>
      <c r="C8" s="1080"/>
      <c r="D8" s="1080"/>
      <c r="E8" s="1080"/>
      <c r="F8" s="1080"/>
      <c r="G8" s="1080"/>
      <c r="H8" s="1080"/>
      <c r="I8" s="1080"/>
      <c r="J8" s="1080"/>
      <c r="K8" s="1080"/>
      <c r="L8" s="1081"/>
      <c r="M8" s="1071"/>
      <c r="N8" s="1071"/>
    </row>
    <row r="9" spans="8:8">
      <c r="A9" s="1071"/>
      <c r="B9" s="1075"/>
      <c r="C9" s="1080" t="s">
        <v>375</v>
      </c>
      <c r="D9" s="1080"/>
      <c r="E9" s="1080"/>
      <c r="F9" s="1080"/>
      <c r="G9" s="1080"/>
      <c r="H9" s="1080"/>
      <c r="I9" s="1080"/>
      <c r="J9" s="1080"/>
      <c r="K9" s="1080"/>
      <c r="L9" s="1081"/>
      <c r="M9" s="1071"/>
      <c r="N9" s="1071"/>
    </row>
    <row r="10" spans="8:8">
      <c r="A10" s="1071"/>
      <c r="B10" s="1075"/>
      <c r="C10" s="1080"/>
      <c r="D10" s="1080"/>
      <c r="E10" s="1080"/>
      <c r="F10" s="1080"/>
      <c r="G10" s="1080"/>
      <c r="H10" s="1080"/>
      <c r="I10" s="1080"/>
      <c r="J10" s="1080"/>
      <c r="K10" s="1080"/>
      <c r="L10" s="1081"/>
      <c r="M10" s="1071"/>
      <c r="N10" s="1071"/>
    </row>
    <row r="11" spans="8:8">
      <c r="A11" s="1071"/>
      <c r="B11" s="1075"/>
      <c r="C11" s="1080" t="s">
        <v>376</v>
      </c>
      <c r="D11" s="1080"/>
      <c r="E11" s="1080"/>
      <c r="F11" s="1080"/>
      <c r="G11" s="1080"/>
      <c r="H11" s="1080"/>
      <c r="I11" s="1080"/>
      <c r="J11" s="1080"/>
      <c r="K11" s="1080"/>
      <c r="L11" s="1081"/>
      <c r="M11" s="1071"/>
      <c r="N11" s="1071"/>
    </row>
    <row r="12" spans="8:8">
      <c r="A12" s="1071"/>
      <c r="B12" s="1075"/>
      <c r="C12" s="1080"/>
      <c r="D12" s="1080"/>
      <c r="E12" s="1080"/>
      <c r="F12" s="1080"/>
      <c r="G12" s="1080"/>
      <c r="H12" s="1080"/>
      <c r="I12" s="1080"/>
      <c r="J12" s="1080"/>
      <c r="K12" s="1080"/>
      <c r="L12" s="1081"/>
      <c r="M12" s="1071"/>
      <c r="N12" s="1071"/>
    </row>
    <row r="13" spans="8:8">
      <c r="A13" s="1071"/>
      <c r="B13" s="1075"/>
      <c r="C13" s="1080" t="s">
        <v>377</v>
      </c>
      <c r="D13" s="1080"/>
      <c r="E13" s="1080"/>
      <c r="F13" s="1080"/>
      <c r="G13" s="1080"/>
      <c r="H13" s="1080"/>
      <c r="I13" s="1080"/>
      <c r="J13" s="1080"/>
      <c r="K13" s="1080"/>
      <c r="L13" s="1081"/>
      <c r="M13" s="1071"/>
      <c r="N13" s="1071"/>
    </row>
    <row r="14" spans="8:8">
      <c r="A14" s="1071"/>
      <c r="B14" s="1075"/>
      <c r="C14" s="1080" t="s">
        <v>378</v>
      </c>
      <c r="D14" s="1080"/>
      <c r="E14" s="1080"/>
      <c r="F14" s="1080"/>
      <c r="G14" s="1080"/>
      <c r="H14" s="1080"/>
      <c r="I14" s="1080"/>
      <c r="J14" s="1080"/>
      <c r="K14" s="1080"/>
      <c r="L14" s="1081"/>
      <c r="M14" s="1071"/>
      <c r="N14" s="1071"/>
    </row>
    <row r="15" spans="8:8">
      <c r="A15" s="1071"/>
      <c r="B15" s="1075"/>
      <c r="C15" s="1080"/>
      <c r="D15" s="1080"/>
      <c r="E15" s="1080"/>
      <c r="F15" s="1080"/>
      <c r="G15" s="1080"/>
      <c r="H15" s="1080"/>
      <c r="I15" s="1080"/>
      <c r="J15" s="1080"/>
      <c r="K15" s="1080"/>
      <c r="L15" s="1081"/>
      <c r="M15" s="1071"/>
      <c r="N15" s="1071"/>
    </row>
    <row r="16" spans="8:8">
      <c r="A16" s="1071"/>
      <c r="B16" s="1075"/>
      <c r="C16" s="1080" t="s">
        <v>379</v>
      </c>
      <c r="D16" s="1080"/>
      <c r="E16" s="1080"/>
      <c r="F16" s="1080"/>
      <c r="G16" s="1080"/>
      <c r="H16" s="1080"/>
      <c r="I16" s="1080"/>
      <c r="J16" s="1080"/>
      <c r="K16" s="1080"/>
      <c r="L16" s="1081"/>
      <c r="M16" s="1071"/>
      <c r="N16" s="1071"/>
    </row>
    <row r="17" spans="8:8">
      <c r="A17" s="1071"/>
      <c r="B17" s="1075"/>
      <c r="C17" s="1082" t="s">
        <v>380</v>
      </c>
      <c r="D17" s="1082"/>
      <c r="E17" s="1082"/>
      <c r="F17" s="1082"/>
      <c r="G17" s="1082"/>
      <c r="H17" s="1082"/>
      <c r="I17" s="1082"/>
      <c r="J17" s="1082"/>
      <c r="K17" s="1082"/>
      <c r="L17" s="1083"/>
      <c r="M17" s="1071"/>
      <c r="N17" s="1071"/>
    </row>
    <row r="18" spans="8:8">
      <c r="A18" s="1071"/>
      <c r="B18" s="1075"/>
      <c r="C18" s="1080" t="s">
        <v>381</v>
      </c>
      <c r="D18" s="1080"/>
      <c r="E18" s="1080"/>
      <c r="F18" s="1080"/>
      <c r="G18" s="1080"/>
      <c r="H18" s="1080"/>
      <c r="I18" s="1080"/>
      <c r="J18" s="1080"/>
      <c r="K18" s="1080"/>
      <c r="L18" s="1081"/>
      <c r="M18" s="1071"/>
      <c r="N18" s="1071"/>
    </row>
    <row r="19" spans="8:8">
      <c r="A19" s="1071"/>
      <c r="B19" s="1075"/>
      <c r="C19" s="1082" t="s">
        <v>382</v>
      </c>
      <c r="D19" s="1082"/>
      <c r="E19" s="1082"/>
      <c r="F19" s="1082"/>
      <c r="G19" s="1082"/>
      <c r="H19" s="1082"/>
      <c r="I19" s="1082"/>
      <c r="J19" s="1082"/>
      <c r="K19" s="1082"/>
      <c r="L19" s="1083"/>
      <c r="M19" s="1071"/>
      <c r="N19" s="1071"/>
    </row>
    <row r="20" spans="8:8">
      <c r="A20" s="1071"/>
      <c r="B20" s="1075"/>
      <c r="C20" s="1080"/>
      <c r="D20" s="1080"/>
      <c r="E20" s="1080"/>
      <c r="F20" s="1080"/>
      <c r="G20" s="1080"/>
      <c r="H20" s="1080"/>
      <c r="I20" s="1080"/>
      <c r="J20" s="1080"/>
      <c r="K20" s="1080"/>
      <c r="L20" s="1081"/>
      <c r="M20" s="1071"/>
      <c r="N20" s="1071"/>
    </row>
    <row r="21" spans="8:8">
      <c r="A21" s="1071"/>
      <c r="B21" s="1075"/>
      <c r="C21" s="1080" t="s">
        <v>383</v>
      </c>
      <c r="D21" s="1080"/>
      <c r="E21" s="1080"/>
      <c r="F21" s="1080"/>
      <c r="G21" s="1080"/>
      <c r="H21" s="1080"/>
      <c r="I21" s="1080"/>
      <c r="J21" s="1080"/>
      <c r="K21" s="1080"/>
      <c r="L21" s="1081"/>
      <c r="M21" s="1071"/>
      <c r="N21" s="1071"/>
    </row>
    <row r="22" spans="8:8">
      <c r="A22" s="1071"/>
      <c r="B22" s="1075"/>
      <c r="C22" s="1080" t="s">
        <v>384</v>
      </c>
      <c r="D22" s="1080"/>
      <c r="E22" s="1080"/>
      <c r="F22" s="1080"/>
      <c r="G22" s="1080"/>
      <c r="H22" s="1080"/>
      <c r="I22" s="1080"/>
      <c r="J22" s="1080"/>
      <c r="K22" s="1080"/>
      <c r="L22" s="1081"/>
      <c r="M22" s="1071"/>
      <c r="N22" s="1071"/>
    </row>
    <row r="23" spans="8:8">
      <c r="A23" s="1071"/>
      <c r="B23" s="1075"/>
      <c r="C23" s="1082" t="s">
        <v>385</v>
      </c>
      <c r="D23" s="1082"/>
      <c r="E23" s="1082"/>
      <c r="F23" s="1082"/>
      <c r="G23" s="1082"/>
      <c r="H23" s="1082"/>
      <c r="I23" s="1082"/>
      <c r="J23" s="1082"/>
      <c r="K23" s="1082"/>
      <c r="L23" s="1083"/>
      <c r="M23" s="1071"/>
      <c r="N23" s="1071"/>
    </row>
    <row r="24" spans="8:8">
      <c r="A24" s="1071"/>
      <c r="B24" s="1075"/>
      <c r="C24" s="1084"/>
      <c r="D24" s="1084"/>
      <c r="E24" s="1084"/>
      <c r="F24" s="1084"/>
      <c r="G24" s="1084"/>
      <c r="H24" s="1084"/>
      <c r="I24" s="1084"/>
      <c r="J24" s="1084"/>
      <c r="K24" s="1084"/>
      <c r="L24" s="1085"/>
      <c r="M24" s="1071"/>
      <c r="N24" s="1071"/>
    </row>
    <row r="25" spans="8:8">
      <c r="A25" s="1071"/>
      <c r="B25" s="1075"/>
      <c r="C25" s="1084"/>
      <c r="D25" s="1084"/>
      <c r="E25" s="1084"/>
      <c r="F25" s="1086" t="s">
        <v>386</v>
      </c>
      <c r="G25" s="1086"/>
      <c r="H25" s="1086"/>
      <c r="I25" s="1086"/>
      <c r="J25" s="1084"/>
      <c r="K25" s="1084"/>
      <c r="L25" s="1085"/>
      <c r="M25" s="1071"/>
      <c r="N25" s="1071"/>
    </row>
    <row r="26" spans="8:8">
      <c r="A26" s="1071"/>
      <c r="B26" s="1075"/>
      <c r="C26" s="1080"/>
      <c r="D26" s="1080"/>
      <c r="E26" s="1080"/>
      <c r="F26" s="1080"/>
      <c r="G26" s="1080"/>
      <c r="H26" s="1080"/>
      <c r="I26" s="1080"/>
      <c r="J26" s="1080"/>
      <c r="K26" s="1080"/>
      <c r="L26" s="1081"/>
      <c r="M26" s="1071"/>
      <c r="N26" s="1071"/>
    </row>
    <row r="27" spans="8:8">
      <c r="A27" s="1071"/>
      <c r="B27" s="1075"/>
      <c r="C27" s="1087" t="s">
        <v>387</v>
      </c>
      <c r="D27" s="1087"/>
      <c r="E27" s="1087"/>
      <c r="F27" s="1087"/>
      <c r="G27" s="1087"/>
      <c r="H27" s="1087"/>
      <c r="I27" s="1087"/>
      <c r="J27" s="1087"/>
      <c r="K27" s="1087"/>
      <c r="L27" s="1088"/>
      <c r="M27" s="1071"/>
      <c r="N27" s="1071"/>
    </row>
    <row r="28" spans="8:8">
      <c r="A28" s="1071"/>
      <c r="B28" s="1075"/>
      <c r="C28" s="1080"/>
      <c r="D28" s="1080"/>
      <c r="E28" s="1080"/>
      <c r="F28" s="1080"/>
      <c r="G28" s="1080"/>
      <c r="H28" s="1080"/>
      <c r="I28" s="1080"/>
      <c r="J28" s="1080"/>
      <c r="K28" s="1080"/>
      <c r="L28" s="1081"/>
      <c r="M28" s="1071"/>
      <c r="N28" s="1071"/>
    </row>
    <row r="29" spans="8:8">
      <c r="A29" s="1071"/>
      <c r="B29" s="1075"/>
      <c r="C29" s="1089" t="s">
        <v>388</v>
      </c>
      <c r="D29" s="1089"/>
      <c r="E29" s="1089"/>
      <c r="F29" s="1089"/>
      <c r="G29" s="1089"/>
      <c r="H29" s="1089"/>
      <c r="I29" s="1089"/>
      <c r="J29" s="1089"/>
      <c r="K29" s="1089"/>
      <c r="L29" s="1090"/>
      <c r="M29" s="1091"/>
      <c r="N29" s="1071"/>
    </row>
    <row r="30" spans="8:8">
      <c r="A30" s="1071"/>
      <c r="B30" s="1075"/>
      <c r="C30" s="1080"/>
      <c r="D30" s="1080"/>
      <c r="E30" s="1080"/>
      <c r="F30" s="1080"/>
      <c r="G30" s="1080"/>
      <c r="H30" s="1080"/>
      <c r="I30" s="1080"/>
      <c r="J30" s="1080"/>
      <c r="K30" s="1080"/>
      <c r="L30" s="1081"/>
      <c r="M30" s="1071"/>
      <c r="N30" s="1071"/>
    </row>
    <row r="31" spans="8:8">
      <c r="A31" s="1071"/>
      <c r="B31" s="1075"/>
      <c r="C31" s="1092" t="s">
        <v>389</v>
      </c>
      <c r="D31" s="1092"/>
      <c r="E31" s="1092"/>
      <c r="F31" s="1092"/>
      <c r="G31" s="1092"/>
      <c r="H31" s="1092"/>
      <c r="I31" s="1092"/>
      <c r="J31" s="1092"/>
      <c r="K31" s="1092"/>
      <c r="L31" s="1093"/>
      <c r="M31" s="1071"/>
      <c r="N31" s="1071"/>
    </row>
    <row r="32" spans="8:8">
      <c r="A32" s="1071"/>
      <c r="B32" s="1075"/>
      <c r="C32" s="1080"/>
      <c r="D32" s="1080"/>
      <c r="E32" s="1080"/>
      <c r="F32" s="1080"/>
      <c r="G32" s="1080"/>
      <c r="H32" s="1080"/>
      <c r="I32" s="1080"/>
      <c r="J32" s="1080"/>
      <c r="K32" s="1080"/>
      <c r="L32" s="1081"/>
      <c r="M32" s="1071"/>
      <c r="N32" s="1071"/>
    </row>
    <row r="33" spans="8:8">
      <c r="A33" s="1071"/>
      <c r="B33" s="1075"/>
      <c r="C33" s="1092" t="s">
        <v>390</v>
      </c>
      <c r="D33" s="1092"/>
      <c r="E33" s="1092"/>
      <c r="F33" s="1092"/>
      <c r="G33" s="1092"/>
      <c r="H33" s="1092"/>
      <c r="I33" s="1092"/>
      <c r="J33" s="1092"/>
      <c r="K33" s="1092"/>
      <c r="L33" s="1093"/>
      <c r="M33" s="1071"/>
      <c r="N33" s="1071"/>
    </row>
    <row r="34" spans="8:8">
      <c r="A34" s="1071"/>
      <c r="B34" s="1075"/>
      <c r="C34" s="1080"/>
      <c r="D34" s="1080"/>
      <c r="E34" s="1080"/>
      <c r="F34" s="1080"/>
      <c r="G34" s="1080"/>
      <c r="H34" s="1080"/>
      <c r="I34" s="1080"/>
      <c r="J34" s="1080"/>
      <c r="K34" s="1080"/>
      <c r="L34" s="1081"/>
      <c r="M34" s="1071"/>
      <c r="N34" s="1071"/>
    </row>
    <row r="35" spans="8:8">
      <c r="A35" s="1071"/>
      <c r="B35" s="1075"/>
      <c r="C35" s="1082" t="s">
        <v>391</v>
      </c>
      <c r="D35" s="1082"/>
      <c r="E35" s="1082"/>
      <c r="F35" s="1082"/>
      <c r="G35" s="1082"/>
      <c r="H35" s="1082"/>
      <c r="I35" s="1082"/>
      <c r="J35" s="1082"/>
      <c r="K35" s="1082"/>
      <c r="L35" s="1083"/>
      <c r="M35" s="1071"/>
      <c r="N35" s="1071"/>
    </row>
    <row r="36" spans="8:8">
      <c r="A36" s="1071"/>
      <c r="B36" s="1075"/>
      <c r="C36" s="1080"/>
      <c r="D36" s="1080"/>
      <c r="E36" s="1080"/>
      <c r="F36" s="1080"/>
      <c r="G36" s="1080"/>
      <c r="H36" s="1080"/>
      <c r="I36" s="1080"/>
      <c r="J36" s="1080"/>
      <c r="K36" s="1080"/>
      <c r="L36" s="1081"/>
      <c r="M36" s="1071"/>
      <c r="N36" s="1071"/>
    </row>
    <row r="37" spans="8:8">
      <c r="A37" s="1071"/>
      <c r="B37" s="1075"/>
      <c r="C37" s="1080"/>
      <c r="D37" s="1080"/>
      <c r="E37" s="1080"/>
      <c r="F37" s="1080"/>
      <c r="G37" s="1080"/>
      <c r="H37" s="1080"/>
      <c r="I37" s="1080"/>
      <c r="J37" s="1080"/>
      <c r="K37" s="1080"/>
      <c r="L37" s="1081"/>
      <c r="M37" s="1071"/>
      <c r="N37" s="1071"/>
    </row>
    <row r="38" spans="8:8">
      <c r="A38" s="1071"/>
      <c r="B38" s="1075"/>
      <c r="C38" s="1094" t="s">
        <v>392</v>
      </c>
      <c r="D38" s="1094"/>
      <c r="E38" s="1094"/>
      <c r="F38" s="1094"/>
      <c r="G38" s="1094"/>
      <c r="H38" s="1094"/>
      <c r="I38" s="1094"/>
      <c r="J38" s="1094"/>
      <c r="K38" s="1094"/>
      <c r="L38" s="1095"/>
      <c r="M38" s="1071"/>
      <c r="N38" s="1071"/>
    </row>
    <row r="39" spans="8:8">
      <c r="A39" s="1071"/>
      <c r="B39" s="1075"/>
      <c r="C39" s="1080" t="s">
        <v>393</v>
      </c>
      <c r="D39" s="1080"/>
      <c r="E39" s="1080"/>
      <c r="F39" s="1080"/>
      <c r="G39" s="1080"/>
      <c r="H39" s="1080"/>
      <c r="I39" s="1080"/>
      <c r="J39" s="1080"/>
      <c r="K39" s="1080"/>
      <c r="L39" s="1081"/>
      <c r="M39" s="1071"/>
      <c r="N39" s="1071"/>
    </row>
    <row r="40" spans="8:8">
      <c r="A40" s="1071"/>
      <c r="B40" s="1075"/>
      <c r="C40" s="1080" t="s">
        <v>394</v>
      </c>
      <c r="D40" s="1080"/>
      <c r="E40" s="1080"/>
      <c r="F40" s="1080"/>
      <c r="G40" s="1080"/>
      <c r="H40" s="1080"/>
      <c r="I40" s="1080"/>
      <c r="J40" s="1080"/>
      <c r="K40" s="1080"/>
      <c r="L40" s="1081"/>
      <c r="M40" s="1071"/>
      <c r="N40" s="1071"/>
    </row>
    <row r="41" spans="8:8">
      <c r="A41" s="1071"/>
      <c r="B41" s="1075"/>
      <c r="C41" s="1080"/>
      <c r="D41" s="1080"/>
      <c r="E41" s="1080"/>
      <c r="F41" s="1080"/>
      <c r="G41" s="1080"/>
      <c r="H41" s="1080"/>
      <c r="I41" s="1080"/>
      <c r="J41" s="1080"/>
      <c r="K41" s="1080"/>
      <c r="L41" s="1081"/>
      <c r="M41" s="1071"/>
      <c r="N41" s="1071"/>
    </row>
    <row r="42" spans="8:8">
      <c r="A42" s="1071"/>
      <c r="B42" s="1075"/>
      <c r="C42" s="1080" t="s">
        <v>395</v>
      </c>
      <c r="D42" s="1080"/>
      <c r="E42" s="1080"/>
      <c r="F42" s="1080"/>
      <c r="G42" s="1080"/>
      <c r="H42" s="1080"/>
      <c r="I42" s="1080"/>
      <c r="J42" s="1080"/>
      <c r="K42" s="1080"/>
      <c r="L42" s="1081"/>
      <c r="M42" s="1071"/>
      <c r="N42" s="1071"/>
    </row>
    <row r="43" spans="8:8">
      <c r="A43" s="1071"/>
      <c r="B43" s="1075"/>
      <c r="C43" s="1080" t="s">
        <v>396</v>
      </c>
      <c r="D43" s="1080"/>
      <c r="E43" s="1080"/>
      <c r="F43" s="1080"/>
      <c r="G43" s="1080"/>
      <c r="H43" s="1080"/>
      <c r="I43" s="1080"/>
      <c r="J43" s="1080"/>
      <c r="K43" s="1080"/>
      <c r="L43" s="1081"/>
      <c r="M43" s="1071"/>
      <c r="N43" s="1071"/>
    </row>
    <row r="44" spans="8:8">
      <c r="A44" s="1071"/>
      <c r="B44" s="1075"/>
      <c r="C44" s="1080" t="s">
        <v>397</v>
      </c>
      <c r="D44" s="1080"/>
      <c r="E44" s="1080"/>
      <c r="F44" s="1080"/>
      <c r="G44" s="1080"/>
      <c r="H44" s="1080"/>
      <c r="I44" s="1080"/>
      <c r="J44" s="1080"/>
      <c r="K44" s="1080"/>
      <c r="L44" s="1081"/>
      <c r="M44" s="1071"/>
      <c r="N44" s="1071"/>
    </row>
    <row r="45" spans="8:8">
      <c r="A45" s="1071"/>
      <c r="B45" s="1075"/>
      <c r="C45" s="1080"/>
      <c r="D45" s="1080"/>
      <c r="E45" s="1080"/>
      <c r="F45" s="1080"/>
      <c r="G45" s="1080"/>
      <c r="H45" s="1080"/>
      <c r="I45" s="1080"/>
      <c r="J45" s="1080"/>
      <c r="K45" s="1080"/>
      <c r="L45" s="1081"/>
      <c r="M45" s="1071"/>
      <c r="N45" s="1071"/>
    </row>
    <row r="46" spans="8:8">
      <c r="A46" s="1071"/>
      <c r="B46" s="1075"/>
      <c r="C46" s="1080"/>
      <c r="D46" s="1080"/>
      <c r="E46" s="1080"/>
      <c r="F46" s="1080"/>
      <c r="G46" s="1080"/>
      <c r="H46" s="1080"/>
      <c r="I46" s="1080"/>
      <c r="J46" s="1080"/>
      <c r="K46" s="1080"/>
      <c r="L46" s="1081"/>
      <c r="M46" s="1071"/>
      <c r="N46" s="1071"/>
    </row>
    <row r="47" spans="8:8">
      <c r="A47" s="1071"/>
      <c r="B47" s="1075"/>
      <c r="C47" s="1080"/>
      <c r="D47" s="1080"/>
      <c r="E47" s="1080"/>
      <c r="F47" s="1080"/>
      <c r="G47" s="1080"/>
      <c r="H47" s="1080"/>
      <c r="I47" s="1080"/>
      <c r="J47" s="1080"/>
      <c r="K47" s="1080"/>
      <c r="L47" s="1081"/>
      <c r="M47" s="1071"/>
      <c r="N47" s="1071"/>
    </row>
    <row r="48" spans="8:8">
      <c r="A48" s="1071"/>
      <c r="B48" s="1075"/>
      <c r="C48" s="1080"/>
      <c r="D48" s="1080"/>
      <c r="E48" s="1080"/>
      <c r="F48" s="1080"/>
      <c r="G48" s="1080"/>
      <c r="H48" s="1080"/>
      <c r="I48" s="1080"/>
      <c r="J48" s="1080"/>
      <c r="K48" s="1080"/>
      <c r="L48" s="1081"/>
      <c r="M48" s="1071"/>
      <c r="N48" s="1071"/>
    </row>
    <row r="49" spans="8:8">
      <c r="A49" s="1071"/>
      <c r="B49" s="1075"/>
      <c r="C49" s="1080" t="s">
        <v>398</v>
      </c>
      <c r="D49" s="1080"/>
      <c r="E49" s="1080"/>
      <c r="F49" s="1080"/>
      <c r="G49" s="1080"/>
      <c r="H49" s="1080"/>
      <c r="I49" s="1080"/>
      <c r="J49" s="1080"/>
      <c r="K49" s="1080"/>
      <c r="L49" s="1081"/>
      <c r="M49" s="1071"/>
      <c r="N49" s="1071"/>
    </row>
    <row r="50" spans="8:8">
      <c r="A50" s="1071"/>
      <c r="B50" s="1075"/>
      <c r="C50" s="1080" t="s">
        <v>399</v>
      </c>
      <c r="D50" s="1080"/>
      <c r="E50" s="1080"/>
      <c r="F50" s="1080"/>
      <c r="G50" s="1080"/>
      <c r="H50" s="1080"/>
      <c r="I50" s="1080"/>
      <c r="J50" s="1080"/>
      <c r="K50" s="1080"/>
      <c r="L50" s="1081"/>
      <c r="M50" s="1071"/>
      <c r="N50" s="1071"/>
    </row>
    <row r="51" spans="8:8">
      <c r="A51" s="1071"/>
      <c r="B51" s="1075"/>
      <c r="C51" s="1080"/>
      <c r="D51" s="1080"/>
      <c r="E51" s="1080"/>
      <c r="F51" s="1080"/>
      <c r="G51" s="1080"/>
      <c r="H51" s="1080"/>
      <c r="I51" s="1080"/>
      <c r="J51" s="1080"/>
      <c r="K51" s="1080"/>
      <c r="L51" s="1081"/>
      <c r="M51" s="1071"/>
      <c r="N51" s="1071"/>
    </row>
    <row r="52" spans="8:8">
      <c r="A52" s="1071"/>
      <c r="B52" s="1075"/>
      <c r="C52" s="1080" t="s">
        <v>400</v>
      </c>
      <c r="D52" s="1080"/>
      <c r="E52" s="1080"/>
      <c r="F52" s="1080"/>
      <c r="G52" s="1080"/>
      <c r="H52" s="1080"/>
      <c r="I52" s="1080"/>
      <c r="J52" s="1080"/>
      <c r="K52" s="1080"/>
      <c r="L52" s="1081"/>
      <c r="M52" s="1071"/>
      <c r="N52" s="1071"/>
    </row>
    <row r="53" spans="8:8">
      <c r="A53" s="1071"/>
      <c r="B53" s="1075"/>
      <c r="C53" s="1080" t="s">
        <v>401</v>
      </c>
      <c r="D53" s="1080"/>
      <c r="E53" s="1080"/>
      <c r="F53" s="1080"/>
      <c r="G53" s="1080"/>
      <c r="H53" s="1080"/>
      <c r="I53" s="1080"/>
      <c r="J53" s="1080"/>
      <c r="K53" s="1080"/>
      <c r="L53" s="1081"/>
      <c r="M53" s="1071"/>
      <c r="N53" s="1071"/>
    </row>
    <row r="54" spans="8:8">
      <c r="A54" s="1071"/>
      <c r="B54" s="1075"/>
      <c r="C54" s="1080" t="s">
        <v>402</v>
      </c>
      <c r="D54" s="1080"/>
      <c r="E54" s="1080"/>
      <c r="F54" s="1080"/>
      <c r="G54" s="1080"/>
      <c r="H54" s="1080"/>
      <c r="I54" s="1080"/>
      <c r="J54" s="1080"/>
      <c r="K54" s="1080"/>
      <c r="L54" s="1081"/>
      <c r="M54" s="1071"/>
      <c r="N54" s="1071"/>
    </row>
    <row r="55" spans="8:8" ht="15.75">
      <c r="A55" s="1071"/>
      <c r="B55" s="1096"/>
      <c r="C55" s="1097"/>
      <c r="D55" s="1097"/>
      <c r="E55" s="1097"/>
      <c r="F55" s="1097"/>
      <c r="G55" s="1097"/>
      <c r="H55" s="1097"/>
      <c r="I55" s="1097"/>
      <c r="J55" s="1097"/>
      <c r="K55" s="1097"/>
      <c r="L55" s="1098"/>
      <c r="M55" s="1071"/>
      <c r="N55" s="1071"/>
    </row>
    <row r="56" spans="8:8">
      <c r="A56" s="1071"/>
      <c r="B56" s="1071"/>
      <c r="C56" s="1099"/>
      <c r="D56" s="1099"/>
      <c r="E56" s="1099"/>
      <c r="F56" s="1099"/>
      <c r="G56" s="1099"/>
      <c r="H56" s="1099"/>
      <c r="I56" s="1099"/>
      <c r="J56" s="1099"/>
      <c r="K56" s="1099"/>
      <c r="L56" s="1099"/>
      <c r="M56" s="1071"/>
      <c r="N56" s="1071"/>
    </row>
    <row r="57" spans="8:8">
      <c r="A57" s="1071"/>
      <c r="B57" s="1071"/>
      <c r="C57" s="1099"/>
      <c r="D57" s="1099"/>
      <c r="E57" s="1099"/>
      <c r="F57" s="1099"/>
      <c r="G57" s="1099"/>
      <c r="H57" s="1099"/>
      <c r="I57" s="1099"/>
      <c r="J57" s="1099"/>
      <c r="K57" s="1099"/>
      <c r="L57" s="1099"/>
      <c r="M57" s="1071"/>
      <c r="N57" s="1071"/>
    </row>
    <row r="58" spans="8:8">
      <c r="A58" s="1071"/>
      <c r="B58" s="1071"/>
      <c r="C58" s="1099"/>
      <c r="D58" s="1099"/>
      <c r="E58" s="1099"/>
      <c r="F58" s="1099"/>
      <c r="G58" s="1099"/>
      <c r="H58" s="1099"/>
      <c r="I58" s="1099"/>
      <c r="J58" s="1099"/>
      <c r="K58" s="1099"/>
      <c r="L58" s="1099"/>
      <c r="M58" s="1071"/>
      <c r="N58" s="1071"/>
    </row>
    <row r="59" spans="8:8">
      <c r="A59" s="1071"/>
      <c r="B59" s="1071"/>
      <c r="C59" s="1099"/>
      <c r="D59" s="1099"/>
      <c r="E59" s="1099"/>
      <c r="F59" s="1099"/>
      <c r="G59" s="1099"/>
      <c r="H59" s="1099"/>
      <c r="I59" s="1099"/>
      <c r="J59" s="1099"/>
      <c r="K59" s="1099"/>
      <c r="L59" s="1099"/>
      <c r="M59" s="1071"/>
      <c r="N59" s="1071"/>
    </row>
    <row r="60" spans="8:8">
      <c r="A60" s="1071"/>
      <c r="B60" s="1071"/>
      <c r="C60" s="1099"/>
      <c r="D60" s="1099"/>
      <c r="E60" s="1099"/>
      <c r="F60" s="1099"/>
      <c r="G60" s="1099"/>
      <c r="H60" s="1099"/>
      <c r="I60" s="1099"/>
      <c r="J60" s="1099"/>
      <c r="K60" s="1099"/>
      <c r="L60" s="1099"/>
      <c r="M60" s="1071"/>
      <c r="N60" s="1071"/>
    </row>
    <row r="61" spans="8:8">
      <c r="A61" s="1071"/>
      <c r="B61" s="1071"/>
      <c r="C61" s="1099"/>
      <c r="D61" s="1099"/>
      <c r="E61" s="1099"/>
      <c r="F61" s="1099"/>
      <c r="G61" s="1099"/>
      <c r="H61" s="1099"/>
      <c r="I61" s="1099"/>
      <c r="J61" s="1099"/>
      <c r="K61" s="1099"/>
      <c r="L61" s="1099"/>
      <c r="M61" s="1071"/>
      <c r="N61" s="1071"/>
    </row>
    <row r="62" spans="8:8">
      <c r="A62" s="1071"/>
      <c r="B62" s="1071"/>
      <c r="C62" s="1099"/>
      <c r="D62" s="1099"/>
      <c r="E62" s="1099"/>
      <c r="F62" s="1099"/>
      <c r="G62" s="1099"/>
      <c r="H62" s="1099"/>
      <c r="I62" s="1099"/>
      <c r="J62" s="1099"/>
      <c r="K62" s="1099"/>
      <c r="L62" s="1099"/>
      <c r="M62" s="1071"/>
      <c r="N62" s="1071"/>
    </row>
    <row r="63" spans="8:8">
      <c r="A63" s="1071"/>
      <c r="B63" s="1071"/>
      <c r="C63" s="1099"/>
      <c r="D63" s="1099"/>
      <c r="E63" s="1099"/>
      <c r="F63" s="1099"/>
      <c r="G63" s="1099"/>
      <c r="H63" s="1099"/>
      <c r="I63" s="1099"/>
      <c r="J63" s="1099"/>
      <c r="K63" s="1099"/>
      <c r="L63" s="1099"/>
      <c r="M63" s="1071"/>
      <c r="N63" s="1071"/>
    </row>
    <row r="64" spans="8:8">
      <c r="A64" s="892"/>
      <c r="B64" s="892"/>
      <c r="C64" s="1100"/>
      <c r="D64" s="1100"/>
      <c r="E64" s="1100"/>
      <c r="F64" s="1100"/>
      <c r="G64" s="1100"/>
      <c r="H64" s="1100"/>
      <c r="I64" s="1100"/>
      <c r="J64" s="1100"/>
      <c r="K64" s="1100"/>
      <c r="L64" s="1100"/>
      <c r="M64" s="892"/>
    </row>
    <row r="65" spans="8:8">
      <c r="A65" s="892"/>
      <c r="B65" s="892"/>
      <c r="C65" s="1100"/>
      <c r="D65" s="1100"/>
      <c r="E65" s="1100"/>
      <c r="F65" s="1100"/>
      <c r="G65" s="1100"/>
      <c r="H65" s="1100"/>
      <c r="I65" s="1100"/>
      <c r="J65" s="1100"/>
      <c r="K65" s="1100"/>
      <c r="L65" s="1100"/>
      <c r="M65" s="892"/>
    </row>
    <row r="66" spans="8:8">
      <c r="A66" s="892"/>
      <c r="B66" s="892"/>
      <c r="C66" s="1100"/>
      <c r="D66" s="1100"/>
      <c r="E66" s="1100"/>
      <c r="F66" s="1100"/>
      <c r="G66" s="1100"/>
      <c r="H66" s="1100"/>
      <c r="I66" s="1100"/>
      <c r="J66" s="1100"/>
      <c r="K66" s="1100"/>
      <c r="L66" s="1100"/>
      <c r="M66" s="892"/>
    </row>
    <row r="67" spans="8:8">
      <c r="A67" s="892"/>
      <c r="B67" s="892"/>
      <c r="C67" s="1100"/>
      <c r="D67" s="1100"/>
      <c r="E67" s="1100"/>
      <c r="F67" s="1100"/>
      <c r="G67" s="1100"/>
      <c r="H67" s="1100"/>
      <c r="I67" s="1100"/>
      <c r="J67" s="1100"/>
      <c r="K67" s="1100"/>
      <c r="L67" s="1100"/>
      <c r="M67" s="892"/>
    </row>
    <row r="68" spans="8:8">
      <c r="A68" s="892"/>
      <c r="B68" s="892"/>
      <c r="C68" s="1100"/>
      <c r="D68" s="1100"/>
      <c r="E68" s="1100"/>
      <c r="F68" s="1100"/>
      <c r="G68" s="1100"/>
      <c r="H68" s="1100"/>
      <c r="I68" s="1100"/>
      <c r="J68" s="1100"/>
      <c r="K68" s="1100"/>
      <c r="L68" s="1100"/>
      <c r="M68" s="892"/>
    </row>
    <row r="69" spans="8:8">
      <c r="A69" s="892"/>
      <c r="B69" s="892"/>
      <c r="C69" s="1100"/>
      <c r="D69" s="1100"/>
      <c r="E69" s="1100"/>
      <c r="F69" s="1100"/>
      <c r="G69" s="1100"/>
      <c r="H69" s="1100"/>
      <c r="I69" s="1100"/>
      <c r="J69" s="1100"/>
      <c r="K69" s="1100"/>
      <c r="L69" s="1100"/>
      <c r="M69" s="892"/>
    </row>
    <row r="70" spans="8:8">
      <c r="A70" s="892"/>
      <c r="B70" s="892"/>
      <c r="C70" s="1100"/>
      <c r="D70" s="1100"/>
      <c r="E70" s="1100"/>
      <c r="F70" s="1100"/>
      <c r="G70" s="1100"/>
      <c r="H70" s="1100"/>
      <c r="I70" s="1100"/>
      <c r="J70" s="1100"/>
      <c r="K70" s="1100"/>
      <c r="L70" s="1100"/>
      <c r="M70" s="892"/>
    </row>
    <row r="71" spans="8:8">
      <c r="A71" s="892"/>
      <c r="B71" s="892"/>
      <c r="C71" s="1100"/>
      <c r="D71" s="1100"/>
      <c r="E71" s="1100"/>
      <c r="F71" s="1100"/>
      <c r="G71" s="1100"/>
      <c r="H71" s="1100"/>
      <c r="I71" s="1100"/>
      <c r="J71" s="1100"/>
      <c r="K71" s="1100"/>
      <c r="L71" s="1100"/>
      <c r="M71" s="892"/>
    </row>
    <row r="72" spans="8:8">
      <c r="A72" s="892"/>
      <c r="B72" s="892"/>
      <c r="C72" s="1100"/>
      <c r="D72" s="1100"/>
      <c r="E72" s="1100"/>
      <c r="F72" s="1100"/>
      <c r="G72" s="1100"/>
      <c r="H72" s="1100"/>
      <c r="I72" s="1100"/>
      <c r="J72" s="1100"/>
      <c r="K72" s="1100"/>
      <c r="L72" s="1100"/>
      <c r="M72" s="892"/>
    </row>
    <row r="73" spans="8:8">
      <c r="A73" s="892"/>
      <c r="B73" s="892"/>
      <c r="C73" s="1100"/>
      <c r="D73" s="1100"/>
      <c r="E73" s="1100"/>
      <c r="F73" s="1100"/>
      <c r="G73" s="1100"/>
      <c r="H73" s="1100"/>
      <c r="I73" s="1100"/>
      <c r="J73" s="1100"/>
      <c r="K73" s="1100"/>
      <c r="L73" s="1100"/>
      <c r="M73" s="892"/>
    </row>
    <row r="74" spans="8:8">
      <c r="A74" s="892"/>
      <c r="B74" s="892"/>
      <c r="C74" s="1100"/>
      <c r="D74" s="1100"/>
      <c r="E74" s="1100"/>
      <c r="F74" s="1100"/>
      <c r="G74" s="1100"/>
      <c r="H74" s="1100"/>
      <c r="I74" s="1100"/>
      <c r="J74" s="1100"/>
      <c r="K74" s="1100"/>
      <c r="L74" s="1100"/>
      <c r="M74" s="892"/>
    </row>
    <row r="75" spans="8:8">
      <c r="A75" s="892"/>
      <c r="B75" s="892"/>
      <c r="C75" s="1100"/>
      <c r="D75" s="1100"/>
      <c r="E75" s="1100"/>
      <c r="F75" s="1100"/>
      <c r="G75" s="1100"/>
      <c r="H75" s="1100"/>
      <c r="I75" s="1100"/>
      <c r="J75" s="1100"/>
      <c r="K75" s="1100"/>
      <c r="L75" s="1100"/>
      <c r="M75" s="892"/>
    </row>
    <row r="76" spans="8:8">
      <c r="A76" s="892"/>
      <c r="B76" s="892"/>
      <c r="C76" s="1100"/>
      <c r="D76" s="1100"/>
      <c r="E76" s="1100"/>
      <c r="F76" s="1100"/>
      <c r="G76" s="1100"/>
      <c r="H76" s="1100"/>
      <c r="I76" s="1100"/>
      <c r="J76" s="1100"/>
      <c r="K76" s="1100"/>
      <c r="L76" s="1100"/>
      <c r="M76" s="892"/>
    </row>
    <row r="77" spans="8:8">
      <c r="A77" s="892"/>
      <c r="B77" s="892"/>
      <c r="C77" s="1100"/>
      <c r="D77" s="1100"/>
      <c r="E77" s="1100"/>
      <c r="F77" s="1100"/>
      <c r="G77" s="1100"/>
      <c r="H77" s="1100"/>
      <c r="I77" s="1100"/>
      <c r="J77" s="1100"/>
      <c r="K77" s="1100"/>
      <c r="L77" s="1100"/>
      <c r="M77" s="892"/>
    </row>
    <row r="78" spans="8:8">
      <c r="A78" s="892"/>
      <c r="B78" s="892"/>
      <c r="C78" s="1100"/>
      <c r="D78" s="1100"/>
      <c r="E78" s="1100"/>
      <c r="F78" s="1100"/>
      <c r="G78" s="1100"/>
      <c r="H78" s="1100"/>
      <c r="I78" s="1100"/>
      <c r="J78" s="1100"/>
      <c r="K78" s="1100"/>
      <c r="L78" s="1100"/>
      <c r="M78" s="892"/>
    </row>
    <row r="79" spans="8:8">
      <c r="A79" s="892"/>
      <c r="B79" s="892"/>
      <c r="C79" s="1100"/>
      <c r="D79" s="1100"/>
      <c r="E79" s="1100"/>
      <c r="F79" s="1100"/>
      <c r="G79" s="1100"/>
      <c r="H79" s="1100"/>
      <c r="I79" s="1100"/>
      <c r="J79" s="1100"/>
      <c r="K79" s="1100"/>
      <c r="L79" s="1100"/>
      <c r="M79" s="892"/>
    </row>
    <row r="80" spans="8:8">
      <c r="A80" s="892"/>
      <c r="B80" s="892"/>
      <c r="C80" s="1100"/>
      <c r="D80" s="1100"/>
      <c r="E80" s="1100"/>
      <c r="F80" s="1100"/>
      <c r="G80" s="1100"/>
      <c r="H80" s="1100"/>
      <c r="I80" s="1100"/>
      <c r="J80" s="1100"/>
      <c r="K80" s="1100"/>
      <c r="L80" s="1100"/>
      <c r="M80" s="892"/>
    </row>
    <row r="81" spans="8:8">
      <c r="A81" s="892"/>
      <c r="B81" s="892"/>
      <c r="C81" s="1100"/>
      <c r="D81" s="1100"/>
      <c r="E81" s="1100"/>
      <c r="F81" s="1100"/>
      <c r="G81" s="1100"/>
      <c r="H81" s="1100"/>
      <c r="I81" s="1100"/>
      <c r="J81" s="1100"/>
      <c r="K81" s="1100"/>
      <c r="L81" s="1100"/>
      <c r="M81" s="892"/>
    </row>
    <row r="82" spans="8:8">
      <c r="A82" s="892"/>
      <c r="B82" s="892"/>
      <c r="C82" s="1100"/>
      <c r="D82" s="1100"/>
      <c r="E82" s="1100"/>
      <c r="F82" s="1100"/>
      <c r="G82" s="1100"/>
      <c r="H82" s="1100"/>
      <c r="I82" s="1100"/>
      <c r="J82" s="1100"/>
      <c r="K82" s="1100"/>
      <c r="L82" s="1100"/>
      <c r="M82" s="892"/>
    </row>
    <row r="83" spans="8:8">
      <c r="A83" s="892"/>
      <c r="B83" s="892"/>
      <c r="C83" s="1100"/>
      <c r="D83" s="1100"/>
      <c r="E83" s="1100"/>
      <c r="F83" s="1100"/>
      <c r="G83" s="1100"/>
      <c r="H83" s="1100"/>
      <c r="I83" s="1100"/>
      <c r="J83" s="1100"/>
      <c r="K83" s="1100"/>
      <c r="L83" s="1100"/>
      <c r="M83" s="892"/>
    </row>
    <row r="84" spans="8:8">
      <c r="A84" s="892"/>
      <c r="B84" s="892"/>
      <c r="C84" s="1100"/>
      <c r="D84" s="1100"/>
      <c r="E84" s="1100"/>
      <c r="F84" s="1100"/>
      <c r="G84" s="1100"/>
      <c r="H84" s="1100"/>
      <c r="I84" s="1100"/>
      <c r="J84" s="1100"/>
      <c r="K84" s="1100"/>
      <c r="L84" s="1100"/>
      <c r="M84" s="892"/>
    </row>
    <row r="85" spans="8:8">
      <c r="A85" s="892"/>
      <c r="B85" s="892"/>
      <c r="C85" s="1100"/>
      <c r="D85" s="1100"/>
      <c r="E85" s="1100"/>
      <c r="F85" s="1100"/>
      <c r="G85" s="1100"/>
      <c r="H85" s="1100"/>
      <c r="I85" s="1100"/>
      <c r="J85" s="1100"/>
      <c r="K85" s="1100"/>
      <c r="L85" s="1100"/>
      <c r="M85" s="892"/>
    </row>
    <row r="86" spans="8:8">
      <c r="A86" s="892"/>
      <c r="B86" s="892"/>
      <c r="C86" s="1100"/>
      <c r="D86" s="1100"/>
      <c r="E86" s="1100"/>
      <c r="F86" s="1100"/>
      <c r="G86" s="1100"/>
      <c r="H86" s="1100"/>
      <c r="I86" s="1100"/>
      <c r="J86" s="1100"/>
      <c r="K86" s="1100"/>
      <c r="L86" s="1100"/>
      <c r="M86" s="892"/>
    </row>
    <row r="87" spans="8:8">
      <c r="A87" s="892"/>
      <c r="B87" s="892"/>
      <c r="C87" s="1100"/>
      <c r="D87" s="1100"/>
      <c r="E87" s="1100"/>
      <c r="F87" s="1100"/>
      <c r="G87" s="1100"/>
      <c r="H87" s="1100"/>
      <c r="I87" s="1100"/>
      <c r="J87" s="1100"/>
      <c r="K87" s="1100"/>
      <c r="L87" s="1100"/>
      <c r="M87" s="892"/>
    </row>
    <row r="88" spans="8:8">
      <c r="A88" s="892"/>
      <c r="B88" s="892"/>
      <c r="C88" s="1100"/>
      <c r="D88" s="1100"/>
      <c r="E88" s="1100"/>
      <c r="F88" s="1100"/>
      <c r="G88" s="1100"/>
      <c r="H88" s="1100"/>
      <c r="I88" s="1100"/>
      <c r="J88" s="1100"/>
      <c r="K88" s="1100"/>
      <c r="L88" s="1100"/>
      <c r="M88" s="892"/>
    </row>
    <row r="89" spans="8:8">
      <c r="A89" s="892"/>
      <c r="B89" s="892"/>
      <c r="C89" s="1100"/>
      <c r="D89" s="1100"/>
      <c r="E89" s="1100"/>
      <c r="F89" s="1100"/>
      <c r="G89" s="1100"/>
      <c r="H89" s="1100"/>
      <c r="I89" s="1100"/>
      <c r="J89" s="1100"/>
      <c r="K89" s="1100"/>
      <c r="L89" s="1100"/>
      <c r="M89" s="892"/>
    </row>
    <row r="90" spans="8:8">
      <c r="A90" s="892"/>
      <c r="B90" s="892"/>
      <c r="C90" s="1100"/>
      <c r="D90" s="1100"/>
      <c r="E90" s="1100"/>
      <c r="F90" s="1100"/>
      <c r="G90" s="1100"/>
      <c r="H90" s="1100"/>
      <c r="I90" s="1100"/>
      <c r="J90" s="1100"/>
      <c r="K90" s="1100"/>
      <c r="L90" s="1100"/>
      <c r="M90" s="892"/>
    </row>
    <row r="91" spans="8:8">
      <c r="A91" s="892"/>
      <c r="B91" s="892"/>
      <c r="C91" s="1100"/>
      <c r="D91" s="1100"/>
      <c r="E91" s="1100"/>
      <c r="F91" s="1100"/>
      <c r="G91" s="1100"/>
      <c r="H91" s="1100"/>
      <c r="I91" s="1100"/>
      <c r="J91" s="1100"/>
      <c r="K91" s="1100"/>
      <c r="L91" s="1100"/>
      <c r="M91" s="892"/>
    </row>
    <row r="92" spans="8:8" s="892" ht="15.0" customFormat="1"/>
    <row r="93" spans="8:8" s="892" ht="15.0" customFormat="1"/>
    <row r="94" spans="8:8" s="892" ht="15.0" customFormat="1"/>
    <row r="95" spans="8:8" s="892" ht="15.0" customFormat="1"/>
    <row r="96" spans="8:8" s="892" ht="15.0" customFormat="1"/>
    <row r="97" spans="8:8" s="892" ht="15.0" customFormat="1"/>
    <row r="98" spans="8:8" s="892" ht="15.0" customFormat="1"/>
    <row r="99" spans="8:8" s="892" ht="15.0" customFormat="1"/>
    <row r="100" spans="8:8" s="892" ht="15.0" customFormat="1"/>
    <row r="101" spans="8:8" s="892" ht="15.0" customFormat="1"/>
    <row r="102" spans="8:8" s="892" ht="15.0" customFormat="1"/>
    <row r="103" spans="8:8" s="892" ht="15.0" customFormat="1"/>
    <row r="104" spans="8:8" s="892" ht="15.0" customFormat="1"/>
    <row r="105" spans="8:8" s="892" ht="15.0" customFormat="1"/>
    <row r="106" spans="8:8" s="892" ht="15.0" customFormat="1"/>
    <row r="107" spans="8:8" s="892" ht="15.0" customFormat="1"/>
    <row r="108" spans="8:8" s="892" ht="15.0" customFormat="1"/>
    <row r="109" spans="8:8" s="892" ht="15.0" customFormat="1"/>
    <row r="110" spans="8:8" s="892" ht="15.0" customFormat="1"/>
    <row r="111" spans="8:8" s="892" ht="15.0" customFormat="1"/>
    <row r="112" spans="8:8" s="892" ht="15.0" customFormat="1"/>
    <row r="113" spans="8:8" s="892" ht="15.0" customFormat="1"/>
    <row r="114" spans="8:8" s="892" ht="15.0" customFormat="1"/>
    <row r="115" spans="8:8" s="892" ht="15.0" customFormat="1"/>
    <row r="116" spans="8:8" s="892" ht="15.0" customFormat="1"/>
    <row r="117" spans="8:8" s="892" ht="15.0" customFormat="1"/>
    <row r="118" spans="8:8" s="892" ht="15.0" customFormat="1"/>
    <row r="119" spans="8:8" s="892" ht="15.0" customFormat="1"/>
    <row r="120" spans="8:8" s="892" ht="15.0" customFormat="1"/>
    <row r="121" spans="8:8" s="892" ht="15.0" customFormat="1"/>
    <row r="122" spans="8:8" s="892" ht="15.0" customFormat="1"/>
    <row r="123" spans="8:8" s="892" ht="15.0" customFormat="1"/>
    <row r="124" spans="8:8" s="892" ht="15.0" customFormat="1"/>
    <row r="125" spans="8:8" s="892" ht="15.0" customFormat="1"/>
    <row r="126" spans="8:8" s="892" ht="15.0" customFormat="1"/>
    <row r="127" spans="8:8" s="892" ht="15.0" customFormat="1"/>
    <row r="128" spans="8:8" s="892" ht="15.0" customFormat="1"/>
    <row r="129" spans="8:8" s="892" ht="15.0" customFormat="1"/>
    <row r="130" spans="8:8" s="892" ht="15.0" customFormat="1"/>
    <row r="131" spans="8:8" s="892" ht="15.0" customFormat="1"/>
    <row r="132" spans="8:8" s="892" ht="15.0" customFormat="1"/>
    <row r="133" spans="8:8" s="892" ht="15.0" customFormat="1"/>
    <row r="134" spans="8:8" s="892" ht="15.0" customFormat="1"/>
    <row r="135" spans="8:8" s="892" ht="15.0" customFormat="1"/>
    <row r="136" spans="8:8" s="892" ht="15.0" customFormat="1"/>
    <row r="137" spans="8:8" s="892" ht="15.0" customFormat="1"/>
    <row r="138" spans="8:8" s="892" ht="15.0" customFormat="1"/>
    <row r="139" spans="8:8" s="892" ht="15.0" customFormat="1"/>
    <row r="140" spans="8:8" s="892" ht="15.0" customFormat="1"/>
    <row r="141" spans="8:8" s="892" ht="15.0" customFormat="1"/>
    <row r="142" spans="8:8" s="892" ht="15.0" customFormat="1"/>
    <row r="143" spans="8:8" s="892" ht="15.0" customFormat="1"/>
    <row r="144" spans="8:8" s="892" ht="15.0" customFormat="1"/>
    <row r="145" spans="8:8" s="892" ht="15.0" customFormat="1"/>
    <row r="146" spans="8:8" s="892" ht="15.0" customFormat="1"/>
    <row r="147" spans="8:8" s="892" ht="15.0" customFormat="1"/>
    <row r="148" spans="8:8" s="892" ht="15.0" customFormat="1"/>
    <row r="149" spans="8:8" s="892" ht="15.0" customFormat="1"/>
    <row r="150" spans="8:8" s="892" ht="15.0" customFormat="1"/>
    <row r="151" spans="8:8" s="892" ht="15.0" customFormat="1"/>
    <row r="152" spans="8:8" s="892" ht="15.0" customFormat="1"/>
    <row r="153" spans="8:8" s="892" ht="15.0" customFormat="1"/>
    <row r="154" spans="8:8" s="892" ht="15.0" customFormat="1"/>
    <row r="155" spans="8:8" s="892" ht="15.0" customFormat="1"/>
    <row r="156" spans="8:8" s="892" ht="15.0" customFormat="1"/>
    <row r="157" spans="8:8" s="892" ht="15.0" customFormat="1"/>
    <row r="158" spans="8:8" s="892" ht="15.0" customFormat="1"/>
    <row r="159" spans="8:8" s="892" ht="15.0" customFormat="1"/>
    <row r="160" spans="8:8" s="892" ht="15.0" customFormat="1"/>
    <row r="161" spans="8:8" s="892" ht="15.0" customFormat="1"/>
    <row r="162" spans="8:8" s="892" ht="15.0" customFormat="1"/>
    <row r="163" spans="8:8" s="892" ht="15.0" customFormat="1"/>
    <row r="164" spans="8:8" s="892" ht="15.0" customFormat="1"/>
    <row r="165" spans="8:8" s="892" ht="15.0" customFormat="1"/>
    <row r="166" spans="8:8" s="892" ht="15.0" customFormat="1"/>
    <row r="167" spans="8:8" s="892" ht="15.0" customFormat="1"/>
    <row r="168" spans="8:8" s="892" ht="15.0" customFormat="1"/>
    <row r="169" spans="8:8" s="892" ht="15.0" customFormat="1"/>
    <row r="170" spans="8:8" s="892" ht="15.0" customFormat="1"/>
    <row r="171" spans="8:8" s="892" ht="15.0" customFormat="1"/>
    <row r="172" spans="8:8" s="892" ht="15.0" customFormat="1"/>
    <row r="173" spans="8:8" s="892" ht="15.0" customFormat="1"/>
    <row r="174" spans="8:8" s="892" ht="15.0" customFormat="1"/>
    <row r="175" spans="8:8" s="892" ht="15.0" customFormat="1"/>
    <row r="176" spans="8:8" s="892" ht="15.0" customFormat="1"/>
    <row r="177" spans="8:8">
      <c r="A177" s="892"/>
      <c r="B177" s="892"/>
      <c r="C177" s="892"/>
      <c r="D177" s="892"/>
      <c r="E177" s="892"/>
      <c r="F177" s="892"/>
      <c r="G177" s="892"/>
      <c r="H177" s="892"/>
      <c r="I177" s="892"/>
      <c r="J177" s="892"/>
      <c r="K177" s="892"/>
      <c r="L177" s="892"/>
      <c r="M177" s="892"/>
    </row>
    <row r="178" spans="8:8">
      <c r="A178" s="892"/>
      <c r="B178" s="892"/>
      <c r="C178" s="892"/>
      <c r="D178" s="892"/>
      <c r="E178" s="892"/>
      <c r="F178" s="892"/>
      <c r="G178" s="892"/>
      <c r="H178" s="892"/>
      <c r="I178" s="892"/>
      <c r="J178" s="892"/>
      <c r="K178" s="892"/>
      <c r="L178" s="892"/>
      <c r="M178" s="892"/>
    </row>
    <row r="179" spans="8:8">
      <c r="A179" s="892"/>
      <c r="B179" s="892"/>
      <c r="C179" s="892"/>
      <c r="D179" s="892"/>
      <c r="E179" s="892"/>
      <c r="F179" s="892"/>
      <c r="G179" s="892"/>
      <c r="H179" s="892"/>
      <c r="I179" s="892"/>
      <c r="J179" s="892"/>
      <c r="K179" s="892"/>
      <c r="L179" s="892"/>
      <c r="M179" s="892"/>
    </row>
    <row r="180" spans="8:8">
      <c r="A180" s="892"/>
      <c r="B180" s="892"/>
      <c r="C180" s="892"/>
      <c r="D180" s="892"/>
      <c r="E180" s="892"/>
      <c r="F180" s="892"/>
      <c r="G180" s="892"/>
      <c r="H180" s="892"/>
      <c r="I180" s="892"/>
      <c r="J180" s="892"/>
      <c r="K180" s="892"/>
      <c r="L180" s="892"/>
      <c r="M180" s="892"/>
    </row>
    <row r="181" spans="8:8">
      <c r="A181" s="892"/>
      <c r="B181" s="892"/>
      <c r="C181" s="892"/>
      <c r="D181" s="892"/>
      <c r="E181" s="892"/>
      <c r="F181" s="892"/>
      <c r="G181" s="892"/>
      <c r="H181" s="892"/>
      <c r="I181" s="892"/>
      <c r="J181" s="892"/>
      <c r="K181" s="892"/>
      <c r="L181" s="892"/>
      <c r="M181" s="892"/>
    </row>
    <row r="182" spans="8:8">
      <c r="A182" s="892"/>
      <c r="B182" s="892"/>
      <c r="C182" s="892"/>
      <c r="D182" s="892"/>
      <c r="E182" s="892"/>
      <c r="F182" s="892"/>
      <c r="G182" s="892"/>
      <c r="H182" s="892"/>
      <c r="I182" s="892"/>
      <c r="J182" s="892"/>
      <c r="K182" s="892"/>
      <c r="L182" s="892"/>
      <c r="M182" s="892"/>
    </row>
    <row r="183" spans="8:8">
      <c r="A183" s="892"/>
      <c r="B183" s="892"/>
      <c r="C183" s="892"/>
      <c r="D183" s="892"/>
      <c r="E183" s="892"/>
      <c r="F183" s="892"/>
      <c r="G183" s="892"/>
      <c r="H183" s="892"/>
      <c r="I183" s="892"/>
      <c r="J183" s="892"/>
      <c r="K183" s="892"/>
      <c r="L183" s="892"/>
      <c r="M183" s="892"/>
    </row>
    <row r="184" spans="8:8">
      <c r="A184" s="892"/>
      <c r="B184" s="892"/>
      <c r="C184" s="892"/>
      <c r="D184" s="892"/>
      <c r="E184" s="892"/>
      <c r="F184" s="892"/>
      <c r="G184" s="892"/>
      <c r="H184" s="892"/>
      <c r="I184" s="892"/>
      <c r="J184" s="892"/>
      <c r="K184" s="892"/>
      <c r="L184" s="892"/>
      <c r="M184" s="892"/>
    </row>
    <row r="185" spans="8:8">
      <c r="A185" s="892"/>
      <c r="B185" s="892"/>
      <c r="C185" s="892"/>
      <c r="D185" s="892"/>
      <c r="E185" s="892"/>
      <c r="F185" s="892"/>
      <c r="G185" s="892"/>
      <c r="H185" s="892"/>
      <c r="I185" s="892"/>
      <c r="J185" s="892"/>
      <c r="K185" s="892"/>
      <c r="L185" s="892"/>
      <c r="M185" s="892"/>
    </row>
    <row r="186" spans="8:8">
      <c r="A186" s="892"/>
      <c r="B186" s="892"/>
      <c r="C186" s="892"/>
      <c r="D186" s="892"/>
      <c r="E186" s="892"/>
      <c r="F186" s="892"/>
      <c r="G186" s="892"/>
      <c r="H186" s="892"/>
      <c r="I186" s="892"/>
      <c r="J186" s="892"/>
      <c r="K186" s="892"/>
      <c r="L186" s="892"/>
      <c r="M186" s="892"/>
    </row>
    <row r="187" spans="8:8">
      <c r="B187" s="892"/>
      <c r="C187" s="892"/>
      <c r="D187" s="892"/>
      <c r="E187" s="892"/>
      <c r="F187" s="892"/>
      <c r="G187" s="892"/>
      <c r="H187" s="892"/>
      <c r="I187" s="892"/>
      <c r="J187" s="892"/>
      <c r="K187" s="892"/>
      <c r="L187" s="892"/>
      <c r="M187" s="892"/>
    </row>
    <row r="188" spans="8:8">
      <c r="B188" s="892"/>
      <c r="C188" s="892"/>
      <c r="D188" s="892"/>
      <c r="E188" s="892"/>
      <c r="F188" s="892"/>
      <c r="G188" s="892"/>
      <c r="H188" s="892"/>
      <c r="I188" s="892"/>
      <c r="J188" s="892"/>
      <c r="K188" s="892"/>
      <c r="L188" s="892"/>
      <c r="M188" s="892"/>
    </row>
    <row r="189" spans="8:8">
      <c r="B189" s="892"/>
      <c r="C189" s="892"/>
      <c r="D189" s="892"/>
      <c r="E189" s="892"/>
      <c r="F189" s="892"/>
      <c r="G189" s="892"/>
      <c r="H189" s="892"/>
      <c r="I189" s="892"/>
      <c r="J189" s="892"/>
      <c r="K189" s="892"/>
      <c r="L189" s="892"/>
      <c r="M189" s="892"/>
    </row>
    <row r="190" spans="8:8">
      <c r="B190" s="892"/>
      <c r="C190" s="892"/>
      <c r="D190" s="892"/>
      <c r="E190" s="892"/>
      <c r="F190" s="892"/>
      <c r="G190" s="892"/>
      <c r="H190" s="892"/>
      <c r="I190" s="892"/>
      <c r="J190" s="892"/>
      <c r="K190" s="892"/>
      <c r="L190" s="892"/>
      <c r="M190" s="892"/>
    </row>
    <row r="191" spans="8:8">
      <c r="B191" s="892"/>
      <c r="C191" s="892"/>
      <c r="D191" s="892"/>
      <c r="E191" s="892"/>
      <c r="F191" s="892"/>
      <c r="G191" s="892"/>
      <c r="H191" s="892"/>
      <c r="I191" s="892"/>
      <c r="J191" s="892"/>
      <c r="K191" s="892"/>
      <c r="L191" s="892"/>
      <c r="M191" s="892"/>
    </row>
    <row r="192" spans="8:8">
      <c r="B192" s="892"/>
      <c r="C192" s="892"/>
      <c r="D192" s="892"/>
      <c r="E192" s="892"/>
      <c r="F192" s="892"/>
      <c r="G192" s="892"/>
      <c r="H192" s="892"/>
      <c r="I192" s="892"/>
      <c r="J192" s="892"/>
      <c r="K192" s="892"/>
      <c r="L192" s="892"/>
      <c r="M192" s="892"/>
    </row>
    <row r="193" spans="8:8">
      <c r="B193" s="892"/>
      <c r="C193" s="892"/>
      <c r="D193" s="892"/>
      <c r="E193" s="892"/>
      <c r="F193" s="892"/>
      <c r="G193" s="892"/>
      <c r="H193" s="892"/>
      <c r="I193" s="892"/>
      <c r="J193" s="892"/>
      <c r="K193" s="892"/>
      <c r="L193" s="892"/>
      <c r="M193" s="892"/>
    </row>
    <row r="194" spans="8:8">
      <c r="B194" s="892"/>
      <c r="C194" s="892"/>
      <c r="D194" s="892"/>
      <c r="E194" s="892"/>
      <c r="F194" s="892"/>
      <c r="G194" s="892"/>
      <c r="H194" s="892"/>
      <c r="I194" s="892"/>
      <c r="J194" s="892"/>
      <c r="K194" s="892"/>
      <c r="L194" s="892"/>
      <c r="M194" s="892"/>
    </row>
    <row r="195" spans="8:8">
      <c r="B195" s="892"/>
      <c r="C195" s="892"/>
      <c r="D195" s="892"/>
      <c r="E195" s="892"/>
      <c r="F195" s="892"/>
      <c r="G195" s="892"/>
      <c r="H195" s="892"/>
      <c r="I195" s="892"/>
      <c r="J195" s="892"/>
      <c r="K195" s="892"/>
      <c r="L195" s="892"/>
      <c r="M195" s="892"/>
    </row>
    <row r="196" spans="8:8">
      <c r="B196" s="892"/>
      <c r="C196" s="892"/>
      <c r="D196" s="892"/>
      <c r="E196" s="892"/>
      <c r="F196" s="892"/>
      <c r="G196" s="892"/>
      <c r="H196" s="892"/>
      <c r="I196" s="892"/>
      <c r="J196" s="892"/>
      <c r="K196" s="892"/>
      <c r="L196" s="892"/>
      <c r="M196" s="892"/>
    </row>
    <row r="197" spans="8:8">
      <c r="B197" s="892"/>
      <c r="C197" s="892"/>
      <c r="D197" s="892"/>
      <c r="E197" s="892"/>
      <c r="F197" s="892"/>
      <c r="G197" s="892"/>
      <c r="H197" s="892"/>
      <c r="I197" s="892"/>
      <c r="J197" s="892"/>
      <c r="K197" s="892"/>
      <c r="L197" s="892"/>
      <c r="M197" s="892"/>
    </row>
    <row r="198" spans="8:8">
      <c r="B198" s="892"/>
      <c r="C198" s="892"/>
      <c r="D198" s="892"/>
      <c r="E198" s="892"/>
      <c r="F198" s="892"/>
      <c r="G198" s="892"/>
      <c r="H198" s="892"/>
      <c r="I198" s="892"/>
      <c r="J198" s="892"/>
      <c r="K198" s="892"/>
      <c r="L198" s="892"/>
      <c r="M198" s="892"/>
    </row>
    <row r="199" spans="8:8">
      <c r="B199" s="892"/>
      <c r="C199" s="892"/>
      <c r="D199" s="892"/>
      <c r="E199" s="892"/>
      <c r="F199" s="892"/>
      <c r="G199" s="892"/>
      <c r="H199" s="892"/>
      <c r="I199" s="892"/>
      <c r="J199" s="892"/>
      <c r="K199" s="892"/>
      <c r="L199" s="892"/>
      <c r="M199" s="892"/>
    </row>
    <row r="200" spans="8:8">
      <c r="B200" s="892"/>
      <c r="C200" s="892"/>
      <c r="D200" s="892"/>
      <c r="E200" s="892"/>
      <c r="F200" s="892"/>
      <c r="G200" s="892"/>
      <c r="H200" s="892"/>
      <c r="I200" s="892"/>
      <c r="J200" s="892"/>
      <c r="K200" s="892"/>
      <c r="L200" s="892"/>
      <c r="M200" s="892"/>
    </row>
    <row r="201" spans="8:8">
      <c r="B201" s="892"/>
      <c r="C201" s="892"/>
      <c r="D201" s="892"/>
      <c r="E201" s="892"/>
      <c r="F201" s="892"/>
      <c r="G201" s="892"/>
      <c r="H201" s="892"/>
      <c r="I201" s="892"/>
      <c r="J201" s="892"/>
      <c r="K201" s="892"/>
      <c r="L201" s="892"/>
      <c r="M201" s="892"/>
    </row>
    <row r="202" spans="8:8">
      <c r="B202" s="892"/>
      <c r="C202" s="892"/>
      <c r="D202" s="892"/>
      <c r="E202" s="892"/>
      <c r="F202" s="892"/>
      <c r="G202" s="892"/>
      <c r="H202" s="892"/>
      <c r="I202" s="892"/>
      <c r="J202" s="892"/>
      <c r="K202" s="892"/>
      <c r="L202" s="892"/>
      <c r="M202" s="892"/>
    </row>
    <row r="203" spans="8:8">
      <c r="B203" s="892"/>
      <c r="C203" s="892"/>
      <c r="D203" s="892"/>
      <c r="E203" s="892"/>
      <c r="F203" s="892"/>
      <c r="G203" s="892"/>
      <c r="H203" s="892"/>
      <c r="I203" s="892"/>
      <c r="J203" s="892"/>
      <c r="K203" s="892"/>
      <c r="L203" s="892"/>
      <c r="M203" s="892"/>
    </row>
    <row r="204" spans="8:8">
      <c r="B204" s="892"/>
      <c r="C204" s="892"/>
      <c r="D204" s="892"/>
      <c r="E204" s="892"/>
      <c r="F204" s="892"/>
      <c r="G204" s="892"/>
      <c r="H204" s="892"/>
      <c r="I204" s="892"/>
      <c r="J204" s="892"/>
      <c r="K204" s="892"/>
      <c r="L204" s="892"/>
      <c r="M204" s="892"/>
    </row>
    <row r="205" spans="8:8">
      <c r="B205" s="892"/>
      <c r="C205" s="892"/>
      <c r="D205" s="892"/>
      <c r="E205" s="892"/>
      <c r="F205" s="892"/>
      <c r="G205" s="892"/>
      <c r="H205" s="892"/>
      <c r="I205" s="892"/>
      <c r="J205" s="892"/>
      <c r="K205" s="892"/>
      <c r="L205" s="892"/>
      <c r="M205" s="892"/>
    </row>
    <row r="206" spans="8:8">
      <c r="B206" s="892"/>
      <c r="C206" s="892"/>
      <c r="D206" s="892"/>
      <c r="E206" s="892"/>
      <c r="F206" s="892"/>
      <c r="G206" s="892"/>
      <c r="H206" s="892"/>
      <c r="I206" s="892"/>
      <c r="J206" s="892"/>
      <c r="K206" s="892"/>
      <c r="L206" s="892"/>
      <c r="M206" s="892"/>
    </row>
    <row r="207" spans="8:8">
      <c r="B207" s="892"/>
      <c r="C207" s="892"/>
      <c r="D207" s="892"/>
      <c r="E207" s="892"/>
      <c r="F207" s="892"/>
      <c r="G207" s="892"/>
      <c r="H207" s="892"/>
      <c r="I207" s="892"/>
      <c r="J207" s="892"/>
      <c r="K207" s="892"/>
      <c r="L207" s="892"/>
      <c r="M207" s="892"/>
    </row>
    <row r="208" spans="8:8">
      <c r="B208" s="892"/>
      <c r="C208" s="892"/>
      <c r="D208" s="892"/>
      <c r="E208" s="892"/>
      <c r="F208" s="892"/>
      <c r="G208" s="892"/>
      <c r="H208" s="892"/>
      <c r="I208" s="892"/>
      <c r="J208" s="892"/>
      <c r="K208" s="892"/>
      <c r="L208" s="892"/>
      <c r="M208" s="892"/>
    </row>
    <row r="209" spans="8:8">
      <c r="B209" s="892"/>
      <c r="C209" s="892"/>
      <c r="D209" s="892"/>
      <c r="E209" s="892"/>
      <c r="F209" s="892"/>
      <c r="G209" s="892"/>
      <c r="H209" s="892"/>
      <c r="I209" s="892"/>
      <c r="J209" s="892"/>
      <c r="K209" s="892"/>
      <c r="L209" s="892"/>
      <c r="M209" s="892"/>
    </row>
    <row r="210" spans="8:8">
      <c r="B210" s="892"/>
      <c r="C210" s="892"/>
      <c r="D210" s="892"/>
      <c r="E210" s="892"/>
      <c r="F210" s="892"/>
      <c r="G210" s="892"/>
      <c r="H210" s="892"/>
      <c r="I210" s="892"/>
      <c r="J210" s="892"/>
      <c r="K210" s="892"/>
      <c r="L210" s="892"/>
      <c r="M210" s="892"/>
    </row>
    <row r="211" spans="8:8">
      <c r="B211" s="892"/>
      <c r="C211" s="892"/>
      <c r="D211" s="892"/>
      <c r="E211" s="892"/>
      <c r="F211" s="892"/>
      <c r="G211" s="892"/>
      <c r="H211" s="892"/>
      <c r="I211" s="892"/>
      <c r="J211" s="892"/>
      <c r="K211" s="892"/>
      <c r="L211" s="892"/>
      <c r="M211" s="892"/>
    </row>
    <row r="212" spans="8:8">
      <c r="B212" s="892"/>
      <c r="C212" s="892"/>
      <c r="D212" s="892"/>
      <c r="E212" s="892"/>
      <c r="F212" s="892"/>
      <c r="G212" s="892"/>
      <c r="H212" s="892"/>
      <c r="I212" s="892"/>
      <c r="J212" s="892"/>
      <c r="K212" s="892"/>
      <c r="L212" s="892"/>
      <c r="M212" s="892"/>
    </row>
    <row r="213" spans="8:8">
      <c r="B213" s="892"/>
      <c r="C213" s="892"/>
      <c r="D213" s="892"/>
      <c r="E213" s="892"/>
      <c r="F213" s="892"/>
      <c r="G213" s="892"/>
      <c r="H213" s="892"/>
      <c r="I213" s="892"/>
      <c r="J213" s="892"/>
      <c r="K213" s="892"/>
      <c r="L213" s="892"/>
      <c r="M213" s="892"/>
    </row>
    <row r="214" spans="8:8">
      <c r="B214" s="892"/>
      <c r="C214" s="892"/>
      <c r="D214" s="892"/>
      <c r="E214" s="892"/>
      <c r="F214" s="892"/>
      <c r="G214" s="892"/>
      <c r="H214" s="892"/>
      <c r="I214" s="892"/>
      <c r="J214" s="892"/>
      <c r="K214" s="892"/>
      <c r="L214" s="892"/>
      <c r="M214" s="892"/>
    </row>
    <row r="215" spans="8:8">
      <c r="B215" s="892"/>
      <c r="C215" s="892"/>
      <c r="D215" s="892"/>
      <c r="E215" s="892"/>
      <c r="F215" s="892"/>
      <c r="G215" s="892"/>
      <c r="H215" s="892"/>
      <c r="I215" s="892"/>
      <c r="J215" s="892"/>
      <c r="K215" s="892"/>
      <c r="L215" s="892"/>
      <c r="M215" s="892"/>
    </row>
    <row r="216" spans="8:8">
      <c r="B216" s="892"/>
      <c r="C216" s="892"/>
      <c r="D216" s="892"/>
      <c r="E216" s="892"/>
      <c r="F216" s="892"/>
      <c r="G216" s="892"/>
      <c r="H216" s="892"/>
      <c r="I216" s="892"/>
      <c r="J216" s="892"/>
      <c r="K216" s="892"/>
      <c r="L216" s="892"/>
      <c r="M216" s="892"/>
    </row>
    <row r="217" spans="8:8">
      <c r="B217" s="892"/>
      <c r="C217" s="892"/>
      <c r="D217" s="892"/>
      <c r="E217" s="892"/>
      <c r="F217" s="892"/>
      <c r="G217" s="892"/>
      <c r="H217" s="892"/>
      <c r="I217" s="892"/>
      <c r="J217" s="892"/>
      <c r="K217" s="892"/>
      <c r="L217" s="892"/>
      <c r="M217" s="892"/>
    </row>
    <row r="218" spans="8:8">
      <c r="B218" s="892"/>
      <c r="C218" s="892"/>
      <c r="D218" s="892"/>
      <c r="E218" s="892"/>
      <c r="F218" s="892"/>
      <c r="G218" s="892"/>
      <c r="H218" s="892"/>
      <c r="I218" s="892"/>
      <c r="J218" s="892"/>
      <c r="K218" s="892"/>
      <c r="L218" s="892"/>
      <c r="M218" s="892"/>
    </row>
    <row r="219" spans="8:8">
      <c r="B219" s="892"/>
      <c r="C219" s="892"/>
      <c r="D219" s="892"/>
      <c r="E219" s="892"/>
      <c r="F219" s="892"/>
      <c r="G219" s="892"/>
      <c r="H219" s="892"/>
      <c r="I219" s="892"/>
      <c r="J219" s="892"/>
      <c r="K219" s="892"/>
      <c r="L219" s="892"/>
      <c r="M219" s="892"/>
    </row>
    <row r="220" spans="8:8">
      <c r="B220" s="892"/>
      <c r="C220" s="892"/>
      <c r="D220" s="892"/>
      <c r="E220" s="892"/>
      <c r="F220" s="892"/>
      <c r="G220" s="892"/>
      <c r="H220" s="892"/>
      <c r="I220" s="892"/>
      <c r="J220" s="892"/>
      <c r="K220" s="892"/>
      <c r="L220" s="892"/>
      <c r="M220" s="892"/>
    </row>
    <row r="221" spans="8:8">
      <c r="B221" s="892"/>
      <c r="C221" s="892"/>
      <c r="D221" s="892"/>
      <c r="E221" s="892"/>
      <c r="F221" s="892"/>
      <c r="G221" s="892"/>
      <c r="H221" s="892"/>
      <c r="I221" s="892"/>
      <c r="J221" s="892"/>
      <c r="K221" s="892"/>
      <c r="L221" s="892"/>
      <c r="M221" s="892"/>
    </row>
    <row r="222" spans="8:8">
      <c r="B222" s="892"/>
      <c r="C222" s="892"/>
      <c r="D222" s="892"/>
      <c r="E222" s="892"/>
      <c r="F222" s="892"/>
      <c r="G222" s="892"/>
      <c r="H222" s="892"/>
      <c r="I222" s="892"/>
      <c r="J222" s="892"/>
      <c r="K222" s="892"/>
      <c r="L222" s="892"/>
      <c r="M222" s="892"/>
    </row>
    <row r="223" spans="8:8">
      <c r="B223" s="892"/>
      <c r="C223" s="892"/>
      <c r="D223" s="892"/>
      <c r="E223" s="892"/>
      <c r="F223" s="892"/>
      <c r="G223" s="892"/>
      <c r="H223" s="892"/>
      <c r="I223" s="892"/>
      <c r="J223" s="892"/>
      <c r="K223" s="892"/>
      <c r="L223" s="892"/>
      <c r="M223" s="892"/>
    </row>
    <row r="224" spans="8:8">
      <c r="B224" s="892"/>
      <c r="C224" s="892"/>
      <c r="D224" s="892"/>
      <c r="E224" s="892"/>
      <c r="F224" s="892"/>
      <c r="G224" s="892"/>
      <c r="H224" s="892"/>
      <c r="I224" s="892"/>
      <c r="J224" s="892"/>
      <c r="K224" s="892"/>
      <c r="L224" s="892"/>
      <c r="M224" s="892"/>
    </row>
    <row r="225" spans="8:8">
      <c r="B225" s="892"/>
      <c r="C225" s="892"/>
      <c r="D225" s="892"/>
      <c r="E225" s="892"/>
      <c r="F225" s="892"/>
      <c r="G225" s="892"/>
      <c r="H225" s="892"/>
      <c r="I225" s="892"/>
      <c r="J225" s="892"/>
      <c r="K225" s="892"/>
      <c r="L225" s="892"/>
      <c r="M225" s="892"/>
    </row>
    <row r="226" spans="8:8">
      <c r="B226" s="892"/>
      <c r="C226" s="892"/>
      <c r="D226" s="892"/>
      <c r="E226" s="892"/>
      <c r="F226" s="892"/>
      <c r="G226" s="892"/>
      <c r="H226" s="892"/>
      <c r="I226" s="892"/>
      <c r="J226" s="892"/>
      <c r="K226" s="892"/>
      <c r="L226" s="892"/>
      <c r="M226" s="892"/>
    </row>
    <row r="227" spans="8:8">
      <c r="B227" s="892"/>
      <c r="C227" s="892"/>
      <c r="D227" s="892"/>
      <c r="E227" s="892"/>
      <c r="F227" s="892"/>
      <c r="G227" s="892"/>
      <c r="H227" s="892"/>
      <c r="I227" s="892"/>
      <c r="J227" s="892"/>
      <c r="K227" s="892"/>
      <c r="L227" s="892"/>
      <c r="M227" s="892"/>
    </row>
    <row r="228" spans="8:8">
      <c r="B228" s="892"/>
      <c r="C228" s="892"/>
      <c r="D228" s="892"/>
      <c r="E228" s="892"/>
      <c r="F228" s="892"/>
      <c r="G228" s="892"/>
      <c r="H228" s="892"/>
      <c r="I228" s="892"/>
      <c r="J228" s="892"/>
      <c r="K228" s="892"/>
      <c r="L228" s="892"/>
      <c r="M228" s="892"/>
    </row>
    <row r="229" spans="8:8">
      <c r="B229" s="892"/>
      <c r="C229" s="892"/>
      <c r="D229" s="892"/>
      <c r="E229" s="892"/>
      <c r="F229" s="892"/>
      <c r="G229" s="892"/>
      <c r="H229" s="892"/>
      <c r="I229" s="892"/>
      <c r="J229" s="892"/>
      <c r="K229" s="892"/>
      <c r="L229" s="892"/>
      <c r="M229" s="892"/>
    </row>
    <row r="230" spans="8:8">
      <c r="B230" s="892"/>
      <c r="C230" s="892"/>
      <c r="D230" s="892"/>
      <c r="E230" s="892"/>
      <c r="F230" s="892"/>
      <c r="G230" s="892"/>
      <c r="H230" s="892"/>
      <c r="I230" s="892"/>
      <c r="J230" s="892"/>
      <c r="K230" s="892"/>
      <c r="L230" s="892"/>
      <c r="M230" s="892"/>
    </row>
    <row r="231" spans="8:8">
      <c r="B231" s="892"/>
      <c r="C231" s="892"/>
      <c r="D231" s="892"/>
      <c r="E231" s="892"/>
      <c r="F231" s="892"/>
      <c r="G231" s="892"/>
      <c r="H231" s="892"/>
      <c r="I231" s="892"/>
      <c r="J231" s="892"/>
      <c r="K231" s="892"/>
      <c r="L231" s="892"/>
      <c r="M231" s="892"/>
    </row>
    <row r="232" spans="8:8">
      <c r="B232" s="892"/>
      <c r="C232" s="892"/>
      <c r="D232" s="892"/>
      <c r="E232" s="892"/>
      <c r="F232" s="892"/>
      <c r="G232" s="892"/>
      <c r="H232" s="892"/>
      <c r="I232" s="892"/>
      <c r="J232" s="892"/>
      <c r="K232" s="892"/>
      <c r="L232" s="892"/>
      <c r="M232" s="892"/>
    </row>
    <row r="233" spans="8:8">
      <c r="B233" s="892"/>
      <c r="C233" s="892"/>
      <c r="D233" s="892"/>
      <c r="E233" s="892"/>
      <c r="F233" s="892"/>
      <c r="G233" s="892"/>
      <c r="H233" s="892"/>
      <c r="I233" s="892"/>
      <c r="J233" s="892"/>
      <c r="K233" s="892"/>
      <c r="L233" s="892"/>
      <c r="M233" s="892"/>
    </row>
    <row r="234" spans="8:8">
      <c r="B234" s="892"/>
      <c r="C234" s="892"/>
      <c r="D234" s="892"/>
      <c r="E234" s="892"/>
      <c r="F234" s="892"/>
      <c r="G234" s="892"/>
      <c r="H234" s="892"/>
      <c r="I234" s="892"/>
      <c r="J234" s="892"/>
      <c r="K234" s="892"/>
      <c r="L234" s="892"/>
      <c r="M234" s="892"/>
    </row>
    <row r="235" spans="8:8">
      <c r="B235" s="892"/>
      <c r="C235" s="892"/>
      <c r="D235" s="892"/>
      <c r="E235" s="892"/>
      <c r="F235" s="892"/>
      <c r="G235" s="892"/>
      <c r="H235" s="892"/>
      <c r="I235" s="892"/>
      <c r="J235" s="892"/>
      <c r="K235" s="892"/>
      <c r="L235" s="892"/>
      <c r="M235" s="892"/>
    </row>
    <row r="236" spans="8:8">
      <c r="B236" s="892"/>
      <c r="C236" s="892"/>
      <c r="D236" s="892"/>
      <c r="E236" s="892"/>
      <c r="F236" s="892"/>
      <c r="G236" s="892"/>
      <c r="H236" s="892"/>
      <c r="I236" s="892"/>
      <c r="J236" s="892"/>
      <c r="K236" s="892"/>
      <c r="L236" s="892"/>
      <c r="M236" s="892"/>
    </row>
    <row r="237" spans="8:8">
      <c r="B237" s="892"/>
      <c r="C237" s="892"/>
      <c r="D237" s="892"/>
      <c r="E237" s="892"/>
      <c r="F237" s="892"/>
      <c r="G237" s="892"/>
      <c r="H237" s="892"/>
      <c r="I237" s="892"/>
      <c r="J237" s="892"/>
      <c r="K237" s="892"/>
      <c r="L237" s="892"/>
      <c r="M237" s="892"/>
    </row>
    <row r="238" spans="8:8">
      <c r="B238" s="892"/>
      <c r="C238" s="892"/>
      <c r="D238" s="892"/>
      <c r="E238" s="892"/>
      <c r="F238" s="892"/>
      <c r="G238" s="892"/>
      <c r="H238" s="892"/>
      <c r="I238" s="892"/>
      <c r="J238" s="892"/>
      <c r="K238" s="892"/>
      <c r="L238" s="892"/>
      <c r="M238" s="892"/>
    </row>
    <row r="239" spans="8:8">
      <c r="B239" s="892"/>
      <c r="C239" s="892"/>
      <c r="D239" s="892"/>
      <c r="E239" s="892"/>
      <c r="F239" s="892"/>
      <c r="G239" s="892"/>
      <c r="H239" s="892"/>
      <c r="I239" s="892"/>
      <c r="J239" s="892"/>
      <c r="K239" s="892"/>
      <c r="L239" s="892"/>
      <c r="M239" s="892"/>
    </row>
    <row r="240" spans="8:8">
      <c r="B240" s="892"/>
      <c r="C240" s="892"/>
      <c r="D240" s="892"/>
      <c r="E240" s="892"/>
      <c r="F240" s="892"/>
      <c r="G240" s="892"/>
      <c r="H240" s="892"/>
      <c r="I240" s="892"/>
      <c r="J240" s="892"/>
      <c r="K240" s="892"/>
      <c r="L240" s="892"/>
      <c r="M240" s="892"/>
    </row>
    <row r="241" spans="8:8">
      <c r="B241" s="892"/>
      <c r="C241" s="892"/>
      <c r="D241" s="892"/>
      <c r="E241" s="892"/>
      <c r="F241" s="892"/>
      <c r="G241" s="892"/>
      <c r="H241" s="892"/>
      <c r="I241" s="892"/>
      <c r="J241" s="892"/>
      <c r="K241" s="892"/>
      <c r="L241" s="892"/>
      <c r="M241" s="892"/>
    </row>
    <row r="242" spans="8:8">
      <c r="B242" s="892"/>
      <c r="C242" s="892"/>
      <c r="D242" s="892"/>
      <c r="E242" s="892"/>
      <c r="F242" s="892"/>
      <c r="G242" s="892"/>
      <c r="H242" s="892"/>
      <c r="I242" s="892"/>
      <c r="J242" s="892"/>
      <c r="K242" s="892"/>
      <c r="L242" s="892"/>
      <c r="M242" s="892"/>
    </row>
    <row r="243" spans="8:8">
      <c r="B243" s="892"/>
      <c r="C243" s="892"/>
      <c r="D243" s="892"/>
      <c r="E243" s="892"/>
      <c r="F243" s="892"/>
      <c r="G243" s="892"/>
      <c r="H243" s="892"/>
      <c r="I243" s="892"/>
      <c r="J243" s="892"/>
      <c r="K243" s="892"/>
      <c r="L243" s="892"/>
      <c r="M243" s="892"/>
    </row>
    <row r="244" spans="8:8">
      <c r="B244" s="892"/>
      <c r="C244" s="892"/>
      <c r="D244" s="892"/>
      <c r="E244" s="892"/>
      <c r="F244" s="892"/>
      <c r="G244" s="892"/>
      <c r="H244" s="892"/>
      <c r="I244" s="892"/>
      <c r="J244" s="892"/>
      <c r="K244" s="892"/>
      <c r="L244" s="892"/>
      <c r="M244" s="892"/>
    </row>
    <row r="245" spans="8:8">
      <c r="B245" s="892"/>
      <c r="C245" s="892"/>
      <c r="D245" s="892"/>
      <c r="E245" s="892"/>
      <c r="F245" s="892"/>
      <c r="G245" s="892"/>
      <c r="H245" s="892"/>
      <c r="I245" s="892"/>
      <c r="J245" s="892"/>
      <c r="K245" s="892"/>
      <c r="L245" s="892"/>
      <c r="M245" s="892"/>
    </row>
    <row r="246" spans="8:8">
      <c r="B246" s="892"/>
      <c r="C246" s="892"/>
      <c r="D246" s="892"/>
      <c r="E246" s="892"/>
      <c r="F246" s="892"/>
      <c r="G246" s="892"/>
      <c r="H246" s="892"/>
      <c r="I246" s="892"/>
      <c r="J246" s="892"/>
      <c r="K246" s="892"/>
      <c r="L246" s="892"/>
      <c r="M246" s="892"/>
    </row>
    <row r="247" spans="8:8">
      <c r="B247" s="892"/>
      <c r="C247" s="892"/>
      <c r="D247" s="892"/>
      <c r="E247" s="892"/>
      <c r="F247" s="892"/>
      <c r="G247" s="892"/>
      <c r="H247" s="892"/>
      <c r="I247" s="892"/>
      <c r="J247" s="892"/>
      <c r="K247" s="892"/>
      <c r="L247" s="892"/>
      <c r="M247" s="892"/>
    </row>
    <row r="248" spans="8:8">
      <c r="B248" s="892"/>
      <c r="C248" s="892"/>
      <c r="D248" s="892"/>
      <c r="E248" s="892"/>
      <c r="F248" s="892"/>
      <c r="G248" s="892"/>
      <c r="H248" s="892"/>
      <c r="I248" s="892"/>
      <c r="J248" s="892"/>
      <c r="K248" s="892"/>
      <c r="L248" s="892"/>
      <c r="M248" s="892"/>
    </row>
    <row r="249" spans="8:8">
      <c r="B249" s="892"/>
      <c r="C249" s="892"/>
      <c r="D249" s="892"/>
      <c r="E249" s="892"/>
      <c r="F249" s="892"/>
      <c r="G249" s="892"/>
      <c r="H249" s="892"/>
      <c r="I249" s="892"/>
      <c r="J249" s="892"/>
      <c r="K249" s="892"/>
      <c r="L249" s="892"/>
      <c r="M249" s="892"/>
    </row>
    <row r="250" spans="8:8">
      <c r="B250" s="892"/>
      <c r="C250" s="892"/>
      <c r="D250" s="892"/>
      <c r="E250" s="892"/>
      <c r="F250" s="892"/>
      <c r="G250" s="892"/>
      <c r="H250" s="892"/>
      <c r="I250" s="892"/>
      <c r="J250" s="892"/>
      <c r="K250" s="892"/>
      <c r="L250" s="892"/>
      <c r="M250" s="892"/>
    </row>
    <row r="251" spans="8:8">
      <c r="B251" s="892"/>
      <c r="C251" s="892"/>
      <c r="D251" s="892"/>
      <c r="E251" s="892"/>
      <c r="F251" s="892"/>
      <c r="G251" s="892"/>
      <c r="H251" s="892"/>
      <c r="I251" s="892"/>
      <c r="J251" s="892"/>
      <c r="K251" s="892"/>
      <c r="L251" s="892"/>
      <c r="M251" s="892"/>
    </row>
    <row r="252" spans="8:8">
      <c r="B252" s="892"/>
      <c r="C252" s="892"/>
      <c r="D252" s="892"/>
      <c r="E252" s="892"/>
      <c r="F252" s="892"/>
      <c r="G252" s="892"/>
      <c r="H252" s="892"/>
      <c r="I252" s="892"/>
      <c r="J252" s="892"/>
      <c r="K252" s="892"/>
      <c r="L252" s="892"/>
      <c r="M252" s="892"/>
    </row>
    <row r="253" spans="8:8">
      <c r="B253" s="892"/>
      <c r="C253" s="892"/>
      <c r="D253" s="892"/>
      <c r="E253" s="892"/>
      <c r="F253" s="892"/>
      <c r="G253" s="892"/>
      <c r="H253" s="892"/>
      <c r="I253" s="892"/>
      <c r="J253" s="892"/>
      <c r="K253" s="892"/>
      <c r="L253" s="892"/>
      <c r="M253" s="892"/>
    </row>
    <row r="254" spans="8:8">
      <c r="B254" s="892"/>
      <c r="C254" s="892"/>
      <c r="D254" s="892"/>
      <c r="E254" s="892"/>
      <c r="F254" s="892"/>
      <c r="G254" s="892"/>
      <c r="H254" s="892"/>
      <c r="I254" s="892"/>
      <c r="J254" s="892"/>
      <c r="K254" s="892"/>
      <c r="L254" s="892"/>
      <c r="M254" s="892"/>
    </row>
    <row r="255" spans="8:8">
      <c r="B255" s="892"/>
      <c r="C255" s="892"/>
      <c r="D255" s="892"/>
      <c r="E255" s="892"/>
      <c r="F255" s="892"/>
      <c r="G255" s="892"/>
      <c r="H255" s="892"/>
      <c r="I255" s="892"/>
      <c r="J255" s="892"/>
      <c r="K255" s="892"/>
      <c r="L255" s="892"/>
      <c r="M255" s="892"/>
    </row>
    <row r="256" spans="8:8">
      <c r="B256" s="892"/>
      <c r="C256" s="892"/>
      <c r="D256" s="892"/>
      <c r="E256" s="892"/>
      <c r="F256" s="892"/>
      <c r="G256" s="892"/>
      <c r="H256" s="892"/>
      <c r="I256" s="892"/>
      <c r="J256" s="892"/>
      <c r="K256" s="892"/>
      <c r="L256" s="892"/>
      <c r="M256" s="892"/>
    </row>
    <row r="257" spans="8:8">
      <c r="B257" s="892"/>
      <c r="C257" s="892"/>
      <c r="D257" s="892"/>
      <c r="E257" s="892"/>
      <c r="F257" s="892"/>
      <c r="G257" s="892"/>
      <c r="H257" s="892"/>
      <c r="I257" s="892"/>
      <c r="J257" s="892"/>
      <c r="K257" s="892"/>
      <c r="L257" s="892"/>
      <c r="M257" s="892"/>
    </row>
    <row r="258" spans="8:8">
      <c r="B258" s="892"/>
      <c r="C258" s="892"/>
      <c r="D258" s="892"/>
      <c r="E258" s="892"/>
      <c r="F258" s="892"/>
      <c r="G258" s="892"/>
      <c r="H258" s="892"/>
      <c r="I258" s="892"/>
      <c r="J258" s="892"/>
      <c r="K258" s="892"/>
      <c r="L258" s="892"/>
      <c r="M258" s="892"/>
    </row>
    <row r="259" spans="8:8">
      <c r="B259" s="892"/>
      <c r="C259" s="892"/>
      <c r="D259" s="892"/>
      <c r="E259" s="892"/>
      <c r="F259" s="892"/>
      <c r="G259" s="892"/>
      <c r="H259" s="892"/>
      <c r="I259" s="892"/>
      <c r="J259" s="892"/>
      <c r="K259" s="892"/>
      <c r="L259" s="892"/>
      <c r="M259" s="892"/>
    </row>
    <row r="260" spans="8:8">
      <c r="B260" s="892"/>
      <c r="C260" s="892"/>
      <c r="D260" s="892"/>
      <c r="E260" s="892"/>
      <c r="F260" s="892"/>
      <c r="G260" s="892"/>
      <c r="H260" s="892"/>
      <c r="I260" s="892"/>
      <c r="J260" s="892"/>
      <c r="K260" s="892"/>
      <c r="L260" s="892"/>
      <c r="M260" s="892"/>
    </row>
    <row r="261" spans="8:8">
      <c r="B261" s="892"/>
      <c r="C261" s="892"/>
      <c r="D261" s="892"/>
      <c r="E261" s="892"/>
      <c r="F261" s="892"/>
      <c r="G261" s="892"/>
      <c r="H261" s="892"/>
      <c r="I261" s="892"/>
      <c r="J261" s="892"/>
      <c r="K261" s="892"/>
      <c r="L261" s="892"/>
      <c r="M261" s="892"/>
    </row>
    <row r="262" spans="8:8">
      <c r="B262" s="892"/>
      <c r="C262" s="892"/>
      <c r="D262" s="892"/>
      <c r="E262" s="892"/>
      <c r="F262" s="892"/>
      <c r="G262" s="892"/>
      <c r="H262" s="892"/>
      <c r="I262" s="892"/>
      <c r="J262" s="892"/>
      <c r="K262" s="892"/>
      <c r="L262" s="892"/>
      <c r="M262" s="892"/>
    </row>
    <row r="263" spans="8:8">
      <c r="B263" s="892"/>
      <c r="C263" s="892"/>
      <c r="D263" s="892"/>
      <c r="E263" s="892"/>
      <c r="F263" s="892"/>
      <c r="G263" s="892"/>
      <c r="H263" s="892"/>
      <c r="I263" s="892"/>
      <c r="J263" s="892"/>
      <c r="K263" s="892"/>
      <c r="L263" s="892"/>
      <c r="M263" s="892"/>
    </row>
    <row r="264" spans="8:8">
      <c r="B264" s="892"/>
      <c r="C264" s="892"/>
      <c r="D264" s="892"/>
      <c r="E264" s="892"/>
      <c r="F264" s="892"/>
      <c r="G264" s="892"/>
      <c r="H264" s="892"/>
      <c r="I264" s="892"/>
      <c r="J264" s="892"/>
      <c r="K264" s="892"/>
      <c r="L264" s="892"/>
      <c r="M264" s="892"/>
    </row>
    <row r="265" spans="8:8">
      <c r="B265" s="892"/>
      <c r="C265" s="892"/>
      <c r="D265" s="892"/>
      <c r="E265" s="892"/>
      <c r="F265" s="892"/>
      <c r="G265" s="892"/>
      <c r="H265" s="892"/>
      <c r="I265" s="892"/>
      <c r="J265" s="892"/>
      <c r="K265" s="892"/>
      <c r="L265" s="892"/>
      <c r="M265" s="892"/>
    </row>
    <row r="266" spans="8:8">
      <c r="B266" s="892"/>
      <c r="C266" s="892"/>
      <c r="D266" s="892"/>
      <c r="E266" s="892"/>
      <c r="F266" s="892"/>
      <c r="G266" s="892"/>
      <c r="H266" s="892"/>
      <c r="I266" s="892"/>
      <c r="J266" s="892"/>
      <c r="K266" s="892"/>
      <c r="L266" s="892"/>
      <c r="M266" s="892"/>
    </row>
    <row r="267" spans="8:8">
      <c r="B267" s="892"/>
      <c r="C267" s="892"/>
      <c r="D267" s="892"/>
      <c r="E267" s="892"/>
      <c r="F267" s="892"/>
      <c r="G267" s="892"/>
      <c r="H267" s="892"/>
      <c r="I267" s="892"/>
      <c r="J267" s="892"/>
      <c r="K267" s="892"/>
      <c r="L267" s="892"/>
      <c r="M267" s="892"/>
    </row>
    <row r="268" spans="8:8">
      <c r="B268" s="892"/>
      <c r="C268" s="892"/>
      <c r="D268" s="892"/>
      <c r="E268" s="892"/>
      <c r="F268" s="892"/>
      <c r="G268" s="892"/>
      <c r="H268" s="892"/>
      <c r="I268" s="892"/>
      <c r="J268" s="892"/>
      <c r="K268" s="892"/>
      <c r="L268" s="892"/>
      <c r="M268" s="892"/>
    </row>
    <row r="269" spans="8:8">
      <c r="B269" s="892"/>
      <c r="C269" s="892"/>
      <c r="D269" s="892"/>
      <c r="E269" s="892"/>
      <c r="F269" s="892"/>
      <c r="G269" s="892"/>
      <c r="H269" s="892"/>
      <c r="I269" s="892"/>
      <c r="J269" s="892"/>
      <c r="K269" s="892"/>
      <c r="L269" s="892"/>
      <c r="M269" s="892"/>
    </row>
    <row r="270" spans="8:8">
      <c r="B270" s="892"/>
      <c r="C270" s="892"/>
      <c r="D270" s="892"/>
      <c r="E270" s="892"/>
      <c r="F270" s="892"/>
      <c r="G270" s="892"/>
      <c r="H270" s="892"/>
      <c r="I270" s="892"/>
      <c r="J270" s="892"/>
      <c r="K270" s="892"/>
      <c r="L270" s="892"/>
      <c r="M270" s="892"/>
    </row>
    <row r="271" spans="8:8">
      <c r="B271" s="892"/>
      <c r="C271" s="892"/>
      <c r="D271" s="892"/>
      <c r="E271" s="892"/>
      <c r="F271" s="892"/>
      <c r="G271" s="892"/>
      <c r="H271" s="892"/>
      <c r="I271" s="892"/>
      <c r="J271" s="892"/>
      <c r="K271" s="892"/>
      <c r="L271" s="892"/>
      <c r="M271" s="892"/>
    </row>
    <row r="272" spans="8:8">
      <c r="B272" s="892"/>
      <c r="C272" s="892"/>
      <c r="D272" s="892"/>
      <c r="E272" s="892"/>
      <c r="F272" s="892"/>
      <c r="G272" s="892"/>
      <c r="H272" s="892"/>
      <c r="I272" s="892"/>
      <c r="J272" s="892"/>
      <c r="K272" s="892"/>
      <c r="L272" s="892"/>
      <c r="M272" s="892"/>
    </row>
    <row r="273" spans="8:8">
      <c r="B273" s="892"/>
      <c r="C273" s="892"/>
      <c r="D273" s="892"/>
      <c r="E273" s="892"/>
      <c r="F273" s="892"/>
      <c r="G273" s="892"/>
      <c r="H273" s="892"/>
      <c r="I273" s="892"/>
      <c r="J273" s="892"/>
      <c r="K273" s="892"/>
      <c r="L273" s="892"/>
      <c r="M273" s="892"/>
    </row>
    <row r="274" spans="8:8">
      <c r="B274" s="892"/>
      <c r="C274" s="892"/>
      <c r="D274" s="892"/>
      <c r="E274" s="892"/>
      <c r="F274" s="892"/>
      <c r="G274" s="892"/>
      <c r="H274" s="892"/>
      <c r="I274" s="892"/>
      <c r="J274" s="892"/>
      <c r="K274" s="892"/>
      <c r="L274" s="892"/>
      <c r="M274" s="892"/>
    </row>
    <row r="275" spans="8:8">
      <c r="B275" s="892"/>
      <c r="C275" s="892"/>
      <c r="D275" s="892"/>
      <c r="E275" s="892"/>
      <c r="F275" s="892"/>
      <c r="G275" s="892"/>
      <c r="H275" s="892"/>
      <c r="I275" s="892"/>
      <c r="J275" s="892"/>
      <c r="K275" s="892"/>
      <c r="L275" s="892"/>
      <c r="M275" s="892"/>
    </row>
    <row r="276" spans="8:8">
      <c r="B276" s="892"/>
      <c r="C276" s="892"/>
      <c r="D276" s="892"/>
      <c r="E276" s="892"/>
      <c r="F276" s="892"/>
      <c r="G276" s="892"/>
      <c r="H276" s="892"/>
      <c r="I276" s="892"/>
      <c r="J276" s="892"/>
      <c r="K276" s="892"/>
      <c r="L276" s="892"/>
      <c r="M276" s="892"/>
    </row>
    <row r="277" spans="8:8">
      <c r="B277" s="892"/>
      <c r="C277" s="892"/>
      <c r="D277" s="892"/>
      <c r="E277" s="892"/>
      <c r="F277" s="892"/>
      <c r="G277" s="892"/>
      <c r="H277" s="892"/>
      <c r="I277" s="892"/>
      <c r="J277" s="892"/>
      <c r="K277" s="892"/>
      <c r="L277" s="892"/>
      <c r="M277" s="892"/>
    </row>
    <row r="278" spans="8:8">
      <c r="B278" s="892"/>
      <c r="C278" s="892"/>
      <c r="D278" s="892"/>
      <c r="E278" s="892"/>
      <c r="F278" s="892"/>
      <c r="G278" s="892"/>
      <c r="H278" s="892"/>
      <c r="I278" s="892"/>
      <c r="J278" s="892"/>
      <c r="K278" s="892"/>
      <c r="L278" s="892"/>
      <c r="M278" s="892"/>
    </row>
    <row r="279" spans="8:8">
      <c r="B279" s="892"/>
      <c r="C279" s="892"/>
      <c r="D279" s="892"/>
      <c r="E279" s="892"/>
      <c r="F279" s="892"/>
      <c r="G279" s="892"/>
      <c r="H279" s="892"/>
      <c r="I279" s="892"/>
      <c r="J279" s="892"/>
      <c r="K279" s="892"/>
      <c r="L279" s="892"/>
      <c r="M279" s="892"/>
    </row>
    <row r="280" spans="8:8">
      <c r="B280" s="892"/>
      <c r="C280" s="892"/>
      <c r="D280" s="892"/>
      <c r="E280" s="892"/>
      <c r="F280" s="892"/>
      <c r="G280" s="892"/>
      <c r="H280" s="892"/>
      <c r="I280" s="892"/>
      <c r="J280" s="892"/>
      <c r="K280" s="892"/>
      <c r="L280" s="892"/>
      <c r="M280" s="892"/>
    </row>
    <row r="281" spans="8:8">
      <c r="B281" s="892"/>
      <c r="C281" s="892"/>
      <c r="D281" s="892"/>
      <c r="E281" s="892"/>
      <c r="F281" s="892"/>
      <c r="G281" s="892"/>
      <c r="H281" s="892"/>
      <c r="I281" s="892"/>
      <c r="J281" s="892"/>
      <c r="K281" s="892"/>
      <c r="L281" s="892"/>
      <c r="M281" s="892"/>
    </row>
    <row r="282" spans="8:8">
      <c r="B282" s="892"/>
      <c r="C282" s="892"/>
      <c r="D282" s="892"/>
      <c r="E282" s="892"/>
      <c r="F282" s="892"/>
      <c r="G282" s="892"/>
      <c r="H282" s="892"/>
      <c r="I282" s="892"/>
      <c r="J282" s="892"/>
      <c r="K282" s="892"/>
      <c r="L282" s="892"/>
      <c r="M282" s="892"/>
    </row>
    <row r="283" spans="8:8">
      <c r="B283" s="892"/>
      <c r="C283" s="892"/>
      <c r="D283" s="892"/>
      <c r="E283" s="892"/>
      <c r="F283" s="892"/>
      <c r="G283" s="892"/>
      <c r="H283" s="892"/>
      <c r="I283" s="892"/>
      <c r="J283" s="892"/>
      <c r="K283" s="892"/>
      <c r="L283" s="892"/>
      <c r="M283" s="892"/>
    </row>
    <row r="284" spans="8:8">
      <c r="B284" s="892"/>
      <c r="C284" s="892"/>
      <c r="D284" s="892"/>
      <c r="E284" s="892"/>
      <c r="F284" s="892"/>
      <c r="G284" s="892"/>
      <c r="H284" s="892"/>
      <c r="I284" s="892"/>
      <c r="J284" s="892"/>
      <c r="K284" s="892"/>
      <c r="L284" s="892"/>
      <c r="M284" s="892"/>
    </row>
    <row r="285" spans="8:8">
      <c r="B285" s="892"/>
      <c r="C285" s="892"/>
      <c r="D285" s="892"/>
      <c r="E285" s="892"/>
      <c r="F285" s="892"/>
      <c r="G285" s="892"/>
      <c r="H285" s="892"/>
      <c r="I285" s="892"/>
      <c r="J285" s="892"/>
      <c r="K285" s="892"/>
      <c r="L285" s="892"/>
      <c r="M285" s="892"/>
    </row>
    <row r="286" spans="8:8">
      <c r="B286" s="892"/>
      <c r="C286" s="892"/>
      <c r="D286" s="892"/>
      <c r="E286" s="892"/>
      <c r="F286" s="892"/>
      <c r="G286" s="892"/>
      <c r="H286" s="892"/>
      <c r="I286" s="892"/>
      <c r="J286" s="892"/>
      <c r="K286" s="892"/>
      <c r="L286" s="892"/>
      <c r="M286" s="892"/>
    </row>
    <row r="287" spans="8:8">
      <c r="B287" s="892"/>
      <c r="C287" s="892"/>
      <c r="D287" s="892"/>
      <c r="E287" s="892"/>
      <c r="F287" s="892"/>
      <c r="G287" s="892"/>
      <c r="H287" s="892"/>
      <c r="I287" s="892"/>
      <c r="J287" s="892"/>
      <c r="K287" s="892"/>
      <c r="L287" s="892"/>
      <c r="M287" s="892"/>
    </row>
    <row r="288" spans="8:8">
      <c r="B288" s="892"/>
      <c r="C288" s="892"/>
      <c r="D288" s="892"/>
      <c r="E288" s="892"/>
      <c r="F288" s="892"/>
      <c r="G288" s="892"/>
      <c r="H288" s="892"/>
      <c r="I288" s="892"/>
      <c r="J288" s="892"/>
      <c r="K288" s="892"/>
      <c r="L288" s="892"/>
      <c r="M288" s="892"/>
    </row>
    <row r="289" spans="8:8">
      <c r="B289" s="892"/>
      <c r="C289" s="892"/>
      <c r="D289" s="892"/>
      <c r="E289" s="892"/>
      <c r="F289" s="892"/>
      <c r="G289" s="892"/>
      <c r="H289" s="892"/>
      <c r="I289" s="892"/>
      <c r="J289" s="892"/>
      <c r="K289" s="892"/>
      <c r="L289" s="892"/>
      <c r="M289" s="892"/>
    </row>
    <row r="290" spans="8:8">
      <c r="B290" s="892"/>
      <c r="C290" s="892"/>
      <c r="D290" s="892"/>
      <c r="E290" s="892"/>
      <c r="F290" s="892"/>
      <c r="G290" s="892"/>
      <c r="H290" s="892"/>
      <c r="I290" s="892"/>
      <c r="J290" s="892"/>
      <c r="K290" s="892"/>
      <c r="L290" s="892"/>
      <c r="M290" s="892"/>
    </row>
    <row r="291" spans="8:8">
      <c r="B291" s="892"/>
      <c r="C291" s="892"/>
      <c r="D291" s="892"/>
      <c r="E291" s="892"/>
      <c r="F291" s="892"/>
      <c r="G291" s="892"/>
      <c r="H291" s="892"/>
      <c r="I291" s="892"/>
      <c r="J291" s="892"/>
      <c r="K291" s="892"/>
      <c r="L291" s="892"/>
      <c r="M291" s="892"/>
    </row>
    <row r="292" spans="8:8">
      <c r="B292" s="892"/>
      <c r="C292" s="892"/>
      <c r="D292" s="892"/>
      <c r="E292" s="892"/>
      <c r="F292" s="892"/>
      <c r="G292" s="892"/>
      <c r="H292" s="892"/>
      <c r="I292" s="892"/>
      <c r="J292" s="892"/>
      <c r="K292" s="892"/>
      <c r="L292" s="892"/>
      <c r="M292" s="892"/>
    </row>
    <row r="293" spans="8:8">
      <c r="B293" s="892"/>
      <c r="C293" s="892"/>
      <c r="D293" s="892"/>
      <c r="E293" s="892"/>
      <c r="F293" s="892"/>
      <c r="G293" s="892"/>
      <c r="H293" s="892"/>
      <c r="I293" s="892"/>
      <c r="J293" s="892"/>
      <c r="K293" s="892"/>
      <c r="L293" s="892"/>
      <c r="M293" s="892"/>
    </row>
    <row r="294" spans="8:8">
      <c r="B294" s="892"/>
      <c r="C294" s="892"/>
      <c r="D294" s="892"/>
      <c r="E294" s="892"/>
      <c r="F294" s="892"/>
      <c r="G294" s="892"/>
      <c r="H294" s="892"/>
      <c r="I294" s="892"/>
      <c r="J294" s="892"/>
      <c r="K294" s="892"/>
      <c r="L294" s="892"/>
      <c r="M294" s="892"/>
    </row>
    <row r="295" spans="8:8">
      <c r="B295" s="892"/>
      <c r="C295" s="892"/>
      <c r="D295" s="892"/>
      <c r="E295" s="892"/>
      <c r="F295" s="892"/>
      <c r="G295" s="892"/>
      <c r="H295" s="892"/>
      <c r="I295" s="892"/>
      <c r="J295" s="892"/>
      <c r="K295" s="892"/>
      <c r="L295" s="892"/>
      <c r="M295" s="892"/>
    </row>
    <row r="296" spans="8:8">
      <c r="B296" s="892"/>
      <c r="C296" s="892"/>
      <c r="D296" s="892"/>
      <c r="E296" s="892"/>
      <c r="F296" s="892"/>
      <c r="G296" s="892"/>
      <c r="H296" s="892"/>
      <c r="I296" s="892"/>
      <c r="J296" s="892"/>
      <c r="K296" s="892"/>
      <c r="L296" s="892"/>
      <c r="M296" s="892"/>
    </row>
    <row r="297" spans="8:8">
      <c r="B297" s="892"/>
      <c r="C297" s="892"/>
      <c r="D297" s="892"/>
      <c r="E297" s="892"/>
      <c r="F297" s="892"/>
      <c r="G297" s="892"/>
      <c r="H297" s="892"/>
      <c r="I297" s="892"/>
      <c r="J297" s="892"/>
      <c r="K297" s="892"/>
      <c r="L297" s="892"/>
      <c r="M297" s="892"/>
    </row>
    <row r="298" spans="8:8">
      <c r="B298" s="892"/>
      <c r="C298" s="892"/>
      <c r="D298" s="892"/>
      <c r="E298" s="892"/>
      <c r="F298" s="892"/>
      <c r="G298" s="892"/>
      <c r="H298" s="892"/>
      <c r="I298" s="892"/>
      <c r="J298" s="892"/>
      <c r="K298" s="892"/>
      <c r="L298" s="892"/>
      <c r="M298" s="892"/>
    </row>
    <row r="299" spans="8:8">
      <c r="B299" s="892"/>
      <c r="C299" s="892"/>
      <c r="D299" s="892"/>
      <c r="E299" s="892"/>
      <c r="F299" s="892"/>
      <c r="G299" s="892"/>
      <c r="H299" s="892"/>
      <c r="I299" s="892"/>
      <c r="J299" s="892"/>
      <c r="K299" s="892"/>
      <c r="L299" s="892"/>
      <c r="M299" s="892"/>
    </row>
    <row r="300" spans="8:8">
      <c r="B300" s="892"/>
      <c r="C300" s="892"/>
      <c r="D300" s="892"/>
      <c r="E300" s="892"/>
      <c r="F300" s="892"/>
      <c r="G300" s="892"/>
      <c r="H300" s="892"/>
      <c r="I300" s="892"/>
      <c r="J300" s="892"/>
      <c r="K300" s="892"/>
      <c r="L300" s="892"/>
      <c r="M300" s="892"/>
    </row>
    <row r="301" spans="8:8">
      <c r="B301" s="892"/>
      <c r="C301" s="892"/>
      <c r="D301" s="892"/>
      <c r="E301" s="892"/>
      <c r="F301" s="892"/>
      <c r="G301" s="892"/>
      <c r="H301" s="892"/>
      <c r="I301" s="892"/>
      <c r="J301" s="892"/>
      <c r="K301" s="892"/>
      <c r="L301" s="892"/>
      <c r="M301" s="892"/>
    </row>
    <row r="302" spans="8:8">
      <c r="B302" s="892"/>
      <c r="C302" s="892"/>
      <c r="D302" s="892"/>
      <c r="E302" s="892"/>
      <c r="F302" s="892"/>
      <c r="G302" s="892"/>
      <c r="H302" s="892"/>
      <c r="I302" s="892"/>
      <c r="J302" s="892"/>
      <c r="K302" s="892"/>
      <c r="L302" s="892"/>
      <c r="M302" s="892"/>
    </row>
    <row r="303" spans="8:8">
      <c r="B303" s="892"/>
      <c r="C303" s="892"/>
      <c r="D303" s="892"/>
      <c r="E303" s="892"/>
      <c r="F303" s="892"/>
      <c r="G303" s="892"/>
      <c r="H303" s="892"/>
      <c r="I303" s="892"/>
      <c r="J303" s="892"/>
      <c r="K303" s="892"/>
      <c r="L303" s="892"/>
      <c r="M303" s="892"/>
    </row>
    <row r="304" spans="8:8">
      <c r="B304" s="892"/>
      <c r="C304" s="892"/>
      <c r="D304" s="892"/>
      <c r="E304" s="892"/>
      <c r="F304" s="892"/>
      <c r="G304" s="892"/>
      <c r="H304" s="892"/>
      <c r="I304" s="892"/>
      <c r="J304" s="892"/>
      <c r="K304" s="892"/>
      <c r="L304" s="892"/>
      <c r="M304" s="892"/>
    </row>
    <row r="305" spans="8:8">
      <c r="B305" s="892"/>
      <c r="C305" s="892"/>
      <c r="D305" s="892"/>
      <c r="E305" s="892"/>
      <c r="F305" s="892"/>
      <c r="G305" s="892"/>
      <c r="H305" s="892"/>
      <c r="I305" s="892"/>
      <c r="J305" s="892"/>
      <c r="K305" s="892"/>
      <c r="L305" s="892"/>
      <c r="M305" s="892"/>
    </row>
    <row r="306" spans="8:8">
      <c r="B306" s="892"/>
      <c r="C306" s="892"/>
      <c r="D306" s="892"/>
      <c r="E306" s="892"/>
      <c r="F306" s="892"/>
      <c r="G306" s="892"/>
      <c r="H306" s="892"/>
      <c r="I306" s="892"/>
      <c r="J306" s="892"/>
      <c r="K306" s="892"/>
      <c r="L306" s="892"/>
      <c r="M306" s="892"/>
    </row>
    <row r="307" spans="8:8">
      <c r="B307" s="892"/>
      <c r="C307" s="892"/>
      <c r="D307" s="892"/>
      <c r="E307" s="892"/>
      <c r="F307" s="892"/>
      <c r="G307" s="892"/>
      <c r="H307" s="892"/>
      <c r="I307" s="892"/>
      <c r="J307" s="892"/>
      <c r="K307" s="892"/>
      <c r="L307" s="892"/>
      <c r="M307" s="892"/>
    </row>
    <row r="308" spans="8:8">
      <c r="B308" s="892"/>
      <c r="C308" s="892"/>
      <c r="D308" s="892"/>
      <c r="E308" s="892"/>
      <c r="F308" s="892"/>
      <c r="G308" s="892"/>
      <c r="H308" s="892"/>
      <c r="I308" s="892"/>
      <c r="J308" s="892"/>
      <c r="K308" s="892"/>
      <c r="L308" s="892"/>
      <c r="M308" s="892"/>
    </row>
    <row r="309" spans="8:8">
      <c r="B309" s="892"/>
      <c r="C309" s="892"/>
      <c r="D309" s="892"/>
      <c r="E309" s="892"/>
      <c r="F309" s="892"/>
      <c r="G309" s="892"/>
      <c r="H309" s="892"/>
      <c r="I309" s="892"/>
      <c r="J309" s="892"/>
      <c r="K309" s="892"/>
      <c r="L309" s="892"/>
      <c r="M309" s="892"/>
    </row>
    <row r="310" spans="8:8">
      <c r="B310" s="892"/>
      <c r="C310" s="892"/>
      <c r="D310" s="892"/>
      <c r="E310" s="892"/>
      <c r="F310" s="892"/>
      <c r="G310" s="892"/>
      <c r="H310" s="892"/>
      <c r="I310" s="892"/>
      <c r="J310" s="892"/>
      <c r="K310" s="892"/>
      <c r="L310" s="892"/>
      <c r="M310" s="892"/>
    </row>
    <row r="311" spans="8:8">
      <c r="B311" s="892"/>
      <c r="C311" s="892"/>
      <c r="D311" s="892"/>
      <c r="E311" s="892"/>
      <c r="F311" s="892"/>
      <c r="G311" s="892"/>
      <c r="H311" s="892"/>
      <c r="I311" s="892"/>
      <c r="J311" s="892"/>
      <c r="K311" s="892"/>
      <c r="L311" s="892"/>
      <c r="M311" s="892"/>
    </row>
    <row r="312" spans="8:8">
      <c r="B312" s="892"/>
      <c r="C312" s="892"/>
      <c r="D312" s="892"/>
      <c r="E312" s="892"/>
      <c r="F312" s="892"/>
      <c r="G312" s="892"/>
      <c r="H312" s="892"/>
      <c r="I312" s="892"/>
      <c r="J312" s="892"/>
      <c r="K312" s="892"/>
      <c r="L312" s="892"/>
      <c r="M312" s="892"/>
    </row>
    <row r="313" spans="8:8">
      <c r="B313" s="892"/>
      <c r="C313" s="892"/>
      <c r="D313" s="892"/>
      <c r="E313" s="892"/>
      <c r="F313" s="892"/>
      <c r="G313" s="892"/>
      <c r="H313" s="892"/>
      <c r="I313" s="892"/>
      <c r="J313" s="892"/>
      <c r="K313" s="892"/>
      <c r="L313" s="892"/>
      <c r="M313" s="892"/>
    </row>
    <row r="314" spans="8:8">
      <c r="B314" s="892"/>
      <c r="C314" s="892"/>
      <c r="D314" s="892"/>
      <c r="E314" s="892"/>
      <c r="F314" s="892"/>
      <c r="G314" s="892"/>
      <c r="H314" s="892"/>
      <c r="I314" s="892"/>
      <c r="J314" s="892"/>
      <c r="K314" s="892"/>
      <c r="L314" s="892"/>
      <c r="M314" s="892"/>
    </row>
    <row r="315" spans="8:8">
      <c r="B315" s="892"/>
      <c r="C315" s="892"/>
      <c r="D315" s="892"/>
      <c r="E315" s="892"/>
      <c r="F315" s="892"/>
      <c r="G315" s="892"/>
      <c r="H315" s="892"/>
      <c r="I315" s="892"/>
      <c r="J315" s="892"/>
      <c r="K315" s="892"/>
      <c r="L315" s="892"/>
      <c r="M315" s="892"/>
    </row>
    <row r="316" spans="8:8">
      <c r="B316" s="892"/>
      <c r="C316" s="892"/>
      <c r="D316" s="892"/>
      <c r="E316" s="892"/>
      <c r="F316" s="892"/>
      <c r="G316" s="892"/>
      <c r="H316" s="892"/>
      <c r="I316" s="892"/>
      <c r="J316" s="892"/>
      <c r="K316" s="892"/>
      <c r="L316" s="892"/>
      <c r="M316" s="892"/>
    </row>
    <row r="317" spans="8:8">
      <c r="B317" s="892"/>
      <c r="C317" s="892"/>
      <c r="D317" s="892"/>
      <c r="E317" s="892"/>
      <c r="F317" s="892"/>
      <c r="G317" s="892"/>
      <c r="H317" s="892"/>
      <c r="I317" s="892"/>
      <c r="J317" s="892"/>
      <c r="K317" s="892"/>
      <c r="L317" s="892"/>
      <c r="M317" s="892"/>
    </row>
    <row r="318" spans="8:8">
      <c r="B318" s="892"/>
      <c r="C318" s="892"/>
      <c r="D318" s="892"/>
      <c r="E318" s="892"/>
      <c r="F318" s="892"/>
      <c r="G318" s="892"/>
      <c r="H318" s="892"/>
      <c r="I318" s="892"/>
      <c r="J318" s="892"/>
      <c r="K318" s="892"/>
      <c r="L318" s="892"/>
      <c r="M318" s="892"/>
    </row>
    <row r="319" spans="8:8">
      <c r="B319" s="892"/>
      <c r="C319" s="892"/>
      <c r="D319" s="892"/>
      <c r="E319" s="892"/>
      <c r="F319" s="892"/>
      <c r="G319" s="892"/>
      <c r="H319" s="892"/>
      <c r="I319" s="892"/>
      <c r="J319" s="892"/>
      <c r="K319" s="892"/>
      <c r="L319" s="892"/>
      <c r="M319" s="892"/>
    </row>
    <row r="320" spans="8:8">
      <c r="B320" s="892"/>
      <c r="C320" s="892"/>
      <c r="D320" s="892"/>
      <c r="E320" s="892"/>
      <c r="F320" s="892"/>
      <c r="G320" s="892"/>
      <c r="H320" s="892"/>
      <c r="I320" s="892"/>
      <c r="J320" s="892"/>
      <c r="K320" s="892"/>
      <c r="L320" s="892"/>
      <c r="M320" s="892"/>
    </row>
    <row r="321" spans="8:8">
      <c r="B321" s="892"/>
      <c r="C321" s="892"/>
      <c r="D321" s="892"/>
      <c r="E321" s="892"/>
      <c r="F321" s="892"/>
      <c r="G321" s="892"/>
      <c r="H321" s="892"/>
      <c r="I321" s="892"/>
      <c r="J321" s="892"/>
      <c r="K321" s="892"/>
      <c r="L321" s="892"/>
      <c r="M321" s="892"/>
    </row>
    <row r="322" spans="8:8">
      <c r="B322" s="892"/>
      <c r="C322" s="892"/>
      <c r="D322" s="892"/>
      <c r="E322" s="892"/>
      <c r="F322" s="892"/>
      <c r="G322" s="892"/>
      <c r="H322" s="892"/>
      <c r="I322" s="892"/>
      <c r="J322" s="892"/>
      <c r="K322" s="892"/>
      <c r="L322" s="892"/>
      <c r="M322" s="892"/>
    </row>
    <row r="323" spans="8:8">
      <c r="B323" s="892"/>
      <c r="C323" s="892"/>
      <c r="D323" s="892"/>
      <c r="E323" s="892"/>
      <c r="F323" s="892"/>
      <c r="G323" s="892"/>
      <c r="H323" s="892"/>
      <c r="I323" s="892"/>
      <c r="J323" s="892"/>
      <c r="K323" s="892"/>
      <c r="L323" s="892"/>
      <c r="M323" s="892"/>
    </row>
    <row r="324" spans="8:8">
      <c r="B324" s="892"/>
      <c r="C324" s="892"/>
      <c r="D324" s="892"/>
      <c r="E324" s="892"/>
      <c r="F324" s="892"/>
      <c r="G324" s="892"/>
      <c r="H324" s="892"/>
      <c r="I324" s="892"/>
      <c r="J324" s="892"/>
      <c r="K324" s="892"/>
      <c r="L324" s="892"/>
      <c r="M324" s="892"/>
    </row>
    <row r="325" spans="8:8">
      <c r="B325" s="892"/>
      <c r="C325" s="892"/>
      <c r="D325" s="892"/>
      <c r="E325" s="892"/>
      <c r="F325" s="892"/>
      <c r="G325" s="892"/>
      <c r="H325" s="892"/>
      <c r="I325" s="892"/>
      <c r="J325" s="892"/>
      <c r="K325" s="892"/>
      <c r="L325" s="892"/>
      <c r="M325" s="892"/>
    </row>
    <row r="326" spans="8:8">
      <c r="B326" s="892"/>
      <c r="C326" s="892"/>
      <c r="D326" s="892"/>
      <c r="E326" s="892"/>
      <c r="F326" s="892"/>
      <c r="G326" s="892"/>
      <c r="H326" s="892"/>
      <c r="I326" s="892"/>
      <c r="J326" s="892"/>
      <c r="K326" s="892"/>
      <c r="L326" s="892"/>
      <c r="M326" s="892"/>
    </row>
    <row r="327" spans="8:8">
      <c r="B327" s="892"/>
      <c r="C327" s="892"/>
      <c r="D327" s="892"/>
      <c r="E327" s="892"/>
      <c r="F327" s="892"/>
      <c r="G327" s="892"/>
      <c r="H327" s="892"/>
      <c r="I327" s="892"/>
      <c r="J327" s="892"/>
      <c r="K327" s="892"/>
      <c r="L327" s="892"/>
      <c r="M327" s="892"/>
    </row>
    <row r="328" spans="8:8">
      <c r="B328" s="892"/>
      <c r="C328" s="892"/>
      <c r="D328" s="892"/>
      <c r="E328" s="892"/>
      <c r="F328" s="892"/>
      <c r="G328" s="892"/>
      <c r="H328" s="892"/>
      <c r="I328" s="892"/>
      <c r="J328" s="892"/>
      <c r="K328" s="892"/>
      <c r="L328" s="892"/>
      <c r="M328" s="892"/>
    </row>
    <row r="329" spans="8:8">
      <c r="B329" s="892"/>
      <c r="C329" s="892"/>
      <c r="D329" s="892"/>
      <c r="E329" s="892"/>
      <c r="F329" s="892"/>
      <c r="G329" s="892"/>
      <c r="H329" s="892"/>
      <c r="I329" s="892"/>
      <c r="J329" s="892"/>
      <c r="K329" s="892"/>
      <c r="L329" s="892"/>
      <c r="M329" s="892"/>
    </row>
    <row r="330" spans="8:8">
      <c r="B330" s="892"/>
      <c r="C330" s="892"/>
      <c r="D330" s="892"/>
      <c r="E330" s="892"/>
      <c r="F330" s="892"/>
      <c r="G330" s="892"/>
      <c r="H330" s="892"/>
      <c r="I330" s="892"/>
      <c r="J330" s="892"/>
      <c r="K330" s="892"/>
      <c r="L330" s="892"/>
      <c r="M330" s="892"/>
    </row>
    <row r="331" spans="8:8">
      <c r="B331" s="892"/>
      <c r="C331" s="892"/>
      <c r="D331" s="892"/>
      <c r="E331" s="892"/>
      <c r="F331" s="892"/>
      <c r="G331" s="892"/>
      <c r="H331" s="892"/>
      <c r="I331" s="892"/>
      <c r="J331" s="892"/>
      <c r="K331" s="892"/>
      <c r="L331" s="892"/>
      <c r="M331" s="892"/>
    </row>
    <row r="332" spans="8:8">
      <c r="B332" s="892"/>
      <c r="C332" s="892"/>
      <c r="D332" s="892"/>
      <c r="E332" s="892"/>
      <c r="F332" s="892"/>
      <c r="G332" s="892"/>
      <c r="H332" s="892"/>
      <c r="I332" s="892"/>
      <c r="J332" s="892"/>
      <c r="K332" s="892"/>
      <c r="L332" s="892"/>
      <c r="M332" s="892"/>
    </row>
    <row r="333" spans="8:8">
      <c r="B333" s="892"/>
      <c r="C333" s="892"/>
      <c r="D333" s="892"/>
      <c r="E333" s="892"/>
      <c r="F333" s="892"/>
      <c r="G333" s="892"/>
      <c r="H333" s="892"/>
      <c r="I333" s="892"/>
      <c r="J333" s="892"/>
      <c r="K333" s="892"/>
      <c r="L333" s="892"/>
      <c r="M333" s="892"/>
    </row>
    <row r="334" spans="8:8">
      <c r="B334" s="892"/>
      <c r="C334" s="892"/>
      <c r="D334" s="892"/>
      <c r="E334" s="892"/>
      <c r="F334" s="892"/>
      <c r="G334" s="892"/>
      <c r="H334" s="892"/>
      <c r="I334" s="892"/>
      <c r="J334" s="892"/>
      <c r="K334" s="892"/>
      <c r="L334" s="892"/>
      <c r="M334" s="892"/>
    </row>
    <row r="335" spans="8:8">
      <c r="B335" s="892"/>
      <c r="C335" s="892"/>
      <c r="D335" s="892"/>
      <c r="E335" s="892"/>
      <c r="F335" s="892"/>
      <c r="G335" s="892"/>
      <c r="H335" s="892"/>
      <c r="I335" s="892"/>
      <c r="J335" s="892"/>
      <c r="K335" s="892"/>
      <c r="L335" s="892"/>
      <c r="M335" s="892"/>
    </row>
    <row r="336" spans="8:8">
      <c r="B336" s="892"/>
      <c r="C336" s="892"/>
      <c r="D336" s="892"/>
      <c r="E336" s="892"/>
      <c r="F336" s="892"/>
      <c r="G336" s="892"/>
      <c r="H336" s="892"/>
      <c r="I336" s="892"/>
      <c r="J336" s="892"/>
      <c r="K336" s="892"/>
      <c r="L336" s="892"/>
      <c r="M336" s="892"/>
    </row>
    <row r="337" spans="8:8">
      <c r="B337" s="892"/>
      <c r="C337" s="892"/>
      <c r="D337" s="892"/>
      <c r="E337" s="892"/>
      <c r="F337" s="892"/>
      <c r="G337" s="892"/>
      <c r="H337" s="892"/>
      <c r="I337" s="892"/>
      <c r="J337" s="892"/>
      <c r="K337" s="892"/>
      <c r="L337" s="892"/>
      <c r="M337" s="892"/>
    </row>
    <row r="338" spans="8:8">
      <c r="B338" s="892"/>
      <c r="C338" s="892"/>
      <c r="D338" s="892"/>
      <c r="E338" s="892"/>
      <c r="F338" s="892"/>
      <c r="G338" s="892"/>
      <c r="H338" s="892"/>
      <c r="I338" s="892"/>
      <c r="J338" s="892"/>
      <c r="K338" s="892"/>
      <c r="L338" s="892"/>
      <c r="M338" s="892"/>
    </row>
    <row r="339" spans="8:8">
      <c r="B339" s="892"/>
      <c r="C339" s="892"/>
      <c r="D339" s="892"/>
      <c r="E339" s="892"/>
      <c r="F339" s="892"/>
      <c r="G339" s="892"/>
      <c r="H339" s="892"/>
      <c r="I339" s="892"/>
      <c r="J339" s="892"/>
      <c r="K339" s="892"/>
      <c r="L339" s="892"/>
      <c r="M339" s="892"/>
    </row>
    <row r="340" spans="8:8">
      <c r="B340" s="892"/>
      <c r="C340" s="892"/>
      <c r="D340" s="892"/>
      <c r="E340" s="892"/>
      <c r="F340" s="892"/>
      <c r="G340" s="892"/>
      <c r="H340" s="892"/>
      <c r="I340" s="892"/>
      <c r="J340" s="892"/>
      <c r="K340" s="892"/>
      <c r="L340" s="892"/>
      <c r="M340" s="892"/>
    </row>
    <row r="341" spans="8:8">
      <c r="B341" s="892"/>
      <c r="C341" s="892"/>
      <c r="D341" s="892"/>
      <c r="E341" s="892"/>
      <c r="F341" s="892"/>
      <c r="G341" s="892"/>
      <c r="H341" s="892"/>
      <c r="I341" s="892"/>
      <c r="J341" s="892"/>
      <c r="K341" s="892"/>
      <c r="L341" s="892"/>
      <c r="M341" s="892"/>
    </row>
    <row r="342" spans="8:8">
      <c r="B342" s="892"/>
      <c r="C342" s="892"/>
      <c r="D342" s="892"/>
      <c r="E342" s="892"/>
      <c r="F342" s="892"/>
      <c r="G342" s="892"/>
      <c r="H342" s="892"/>
      <c r="I342" s="892"/>
      <c r="J342" s="892"/>
      <c r="K342" s="892"/>
      <c r="L342" s="892"/>
      <c r="M342" s="892"/>
    </row>
    <row r="343" spans="8:8">
      <c r="B343" s="892"/>
      <c r="C343" s="892"/>
      <c r="D343" s="892"/>
      <c r="E343" s="892"/>
      <c r="F343" s="892"/>
      <c r="G343" s="892"/>
      <c r="H343" s="892"/>
      <c r="I343" s="892"/>
      <c r="J343" s="892"/>
      <c r="K343" s="892"/>
      <c r="L343" s="892"/>
      <c r="M343" s="892"/>
    </row>
    <row r="344" spans="8:8">
      <c r="B344" s="892"/>
      <c r="C344" s="892"/>
      <c r="D344" s="892"/>
      <c r="E344" s="892"/>
      <c r="F344" s="892"/>
      <c r="G344" s="892"/>
      <c r="H344" s="892"/>
      <c r="I344" s="892"/>
      <c r="J344" s="892"/>
      <c r="K344" s="892"/>
      <c r="L344" s="892"/>
      <c r="M344" s="892"/>
    </row>
    <row r="345" spans="8:8">
      <c r="B345" s="892"/>
      <c r="C345" s="892"/>
      <c r="D345" s="892"/>
      <c r="E345" s="892"/>
      <c r="F345" s="892"/>
      <c r="G345" s="892"/>
      <c r="H345" s="892"/>
      <c r="I345" s="892"/>
      <c r="J345" s="892"/>
      <c r="K345" s="892"/>
      <c r="L345" s="892"/>
      <c r="M345" s="892"/>
    </row>
    <row r="346" spans="8:8">
      <c r="B346" s="892"/>
      <c r="C346" s="892"/>
      <c r="D346" s="892"/>
      <c r="E346" s="892"/>
      <c r="F346" s="892"/>
      <c r="G346" s="892"/>
      <c r="H346" s="892"/>
      <c r="I346" s="892"/>
      <c r="J346" s="892"/>
      <c r="K346" s="892"/>
      <c r="L346" s="892"/>
      <c r="M346" s="892"/>
    </row>
    <row r="347" spans="8:8">
      <c r="B347" s="892"/>
      <c r="C347" s="892"/>
      <c r="D347" s="892"/>
      <c r="E347" s="892"/>
      <c r="F347" s="892"/>
      <c r="G347" s="892"/>
      <c r="H347" s="892"/>
      <c r="I347" s="892"/>
      <c r="J347" s="892"/>
      <c r="K347" s="892"/>
      <c r="L347" s="892"/>
      <c r="M347" s="892"/>
    </row>
    <row r="348" spans="8:8">
      <c r="B348" s="892"/>
      <c r="C348" s="892"/>
      <c r="D348" s="892"/>
      <c r="E348" s="892"/>
      <c r="F348" s="892"/>
      <c r="G348" s="892"/>
      <c r="H348" s="892"/>
      <c r="I348" s="892"/>
      <c r="J348" s="892"/>
      <c r="K348" s="892"/>
      <c r="L348" s="892"/>
      <c r="M348" s="892"/>
    </row>
    <row r="349" spans="8:8">
      <c r="B349" s="892"/>
      <c r="C349" s="892"/>
      <c r="D349" s="892"/>
      <c r="E349" s="892"/>
      <c r="F349" s="892"/>
      <c r="G349" s="892"/>
      <c r="H349" s="892"/>
      <c r="I349" s="892"/>
      <c r="J349" s="892"/>
      <c r="K349" s="892"/>
      <c r="L349" s="892"/>
      <c r="M349" s="892"/>
    </row>
    <row r="350" spans="8:8">
      <c r="B350" s="892"/>
      <c r="C350" s="892"/>
      <c r="D350" s="892"/>
      <c r="E350" s="892"/>
      <c r="F350" s="892"/>
      <c r="G350" s="892"/>
      <c r="H350" s="892"/>
      <c r="I350" s="892"/>
      <c r="J350" s="892"/>
      <c r="K350" s="892"/>
      <c r="L350" s="892"/>
      <c r="M350" s="892"/>
    </row>
    <row r="351" spans="8:8">
      <c r="B351" s="892"/>
      <c r="C351" s="892"/>
      <c r="D351" s="892"/>
      <c r="E351" s="892"/>
      <c r="F351" s="892"/>
      <c r="G351" s="892"/>
      <c r="H351" s="892"/>
      <c r="I351" s="892"/>
      <c r="J351" s="892"/>
      <c r="K351" s="892"/>
      <c r="L351" s="892"/>
      <c r="M351" s="892"/>
    </row>
    <row r="352" spans="8:8">
      <c r="B352" s="892"/>
      <c r="C352" s="892"/>
      <c r="D352" s="892"/>
      <c r="E352" s="892"/>
      <c r="F352" s="892"/>
      <c r="G352" s="892"/>
      <c r="H352" s="892"/>
      <c r="I352" s="892"/>
      <c r="J352" s="892"/>
      <c r="K352" s="892"/>
      <c r="L352" s="892"/>
      <c r="M352" s="892"/>
    </row>
    <row r="353" spans="8:8">
      <c r="B353" s="892"/>
      <c r="C353" s="892"/>
      <c r="D353" s="892"/>
      <c r="E353" s="892"/>
      <c r="F353" s="892"/>
      <c r="G353" s="892"/>
      <c r="H353" s="892"/>
      <c r="I353" s="892"/>
      <c r="J353" s="892"/>
      <c r="K353" s="892"/>
      <c r="L353" s="892"/>
      <c r="M353" s="892"/>
    </row>
    <row r="354" spans="8:8">
      <c r="B354" s="892"/>
      <c r="C354" s="892"/>
      <c r="D354" s="892"/>
      <c r="E354" s="892"/>
      <c r="F354" s="892"/>
      <c r="G354" s="892"/>
      <c r="H354" s="892"/>
      <c r="I354" s="892"/>
      <c r="J354" s="892"/>
      <c r="K354" s="892"/>
      <c r="L354" s="892"/>
      <c r="M354" s="892"/>
    </row>
    <row r="355" spans="8:8">
      <c r="B355" s="892"/>
      <c r="C355" s="892"/>
      <c r="D355" s="892"/>
      <c r="E355" s="892"/>
      <c r="F355" s="892"/>
      <c r="G355" s="892"/>
      <c r="H355" s="892"/>
      <c r="I355" s="892"/>
      <c r="J355" s="892"/>
      <c r="K355" s="892"/>
      <c r="L355" s="892"/>
      <c r="M355" s="892"/>
    </row>
    <row r="356" spans="8:8">
      <c r="B356" s="892"/>
      <c r="C356" s="892"/>
      <c r="D356" s="892"/>
      <c r="E356" s="892"/>
      <c r="F356" s="892"/>
      <c r="G356" s="892"/>
      <c r="H356" s="892"/>
      <c r="I356" s="892"/>
      <c r="J356" s="892"/>
      <c r="K356" s="892"/>
      <c r="L356" s="892"/>
      <c r="M356" s="892"/>
    </row>
    <row r="357" spans="8:8">
      <c r="B357" s="892"/>
      <c r="C357" s="892"/>
      <c r="D357" s="892"/>
      <c r="E357" s="892"/>
      <c r="F357" s="892"/>
      <c r="G357" s="892"/>
      <c r="H357" s="892"/>
      <c r="I357" s="892"/>
      <c r="J357" s="892"/>
      <c r="K357" s="892"/>
      <c r="L357" s="892"/>
      <c r="M357" s="892"/>
    </row>
    <row r="358" spans="8:8">
      <c r="B358" s="892"/>
      <c r="C358" s="892"/>
      <c r="D358" s="892"/>
      <c r="E358" s="892"/>
      <c r="F358" s="892"/>
      <c r="G358" s="892"/>
      <c r="H358" s="892"/>
      <c r="I358" s="892"/>
      <c r="J358" s="892"/>
      <c r="K358" s="892"/>
      <c r="L358" s="892"/>
      <c r="M358" s="892"/>
    </row>
    <row r="359" spans="8:8">
      <c r="B359" s="892"/>
      <c r="C359" s="892"/>
      <c r="D359" s="892"/>
      <c r="E359" s="892"/>
      <c r="F359" s="892"/>
      <c r="G359" s="892"/>
      <c r="H359" s="892"/>
      <c r="I359" s="892"/>
      <c r="J359" s="892"/>
      <c r="K359" s="892"/>
      <c r="L359" s="892"/>
      <c r="M359" s="892"/>
    </row>
    <row r="360" spans="8:8">
      <c r="B360" s="892"/>
      <c r="C360" s="892"/>
      <c r="D360" s="892"/>
      <c r="E360" s="892"/>
      <c r="F360" s="892"/>
      <c r="G360" s="892"/>
      <c r="H360" s="892"/>
      <c r="I360" s="892"/>
      <c r="J360" s="892"/>
      <c r="K360" s="892"/>
      <c r="L360" s="892"/>
      <c r="M360" s="892"/>
    </row>
    <row r="361" spans="8:8">
      <c r="B361" s="892"/>
      <c r="C361" s="892"/>
      <c r="D361" s="892"/>
      <c r="E361" s="892"/>
      <c r="F361" s="892"/>
      <c r="G361" s="892"/>
      <c r="H361" s="892"/>
      <c r="I361" s="892"/>
      <c r="J361" s="892"/>
      <c r="K361" s="892"/>
      <c r="L361" s="892"/>
      <c r="M361" s="892"/>
    </row>
    <row r="362" spans="8:8">
      <c r="B362" s="892"/>
      <c r="C362" s="892"/>
      <c r="D362" s="892"/>
      <c r="E362" s="892"/>
      <c r="F362" s="892"/>
      <c r="G362" s="892"/>
      <c r="H362" s="892"/>
      <c r="I362" s="892"/>
      <c r="J362" s="892"/>
      <c r="K362" s="892"/>
      <c r="L362" s="892"/>
      <c r="M362" s="892"/>
    </row>
    <row r="363" spans="8:8">
      <c r="B363" s="892"/>
      <c r="C363" s="892"/>
      <c r="D363" s="892"/>
      <c r="E363" s="892"/>
      <c r="F363" s="892"/>
      <c r="G363" s="892"/>
      <c r="H363" s="892"/>
      <c r="I363" s="892"/>
      <c r="J363" s="892"/>
      <c r="K363" s="892"/>
      <c r="L363" s="892"/>
      <c r="M363" s="892"/>
    </row>
    <row r="364" spans="8:8">
      <c r="B364" s="892"/>
      <c r="C364" s="892"/>
      <c r="D364" s="892"/>
      <c r="E364" s="892"/>
      <c r="F364" s="892"/>
      <c r="G364" s="892"/>
      <c r="H364" s="892"/>
      <c r="I364" s="892"/>
      <c r="J364" s="892"/>
      <c r="K364" s="892"/>
      <c r="L364" s="892"/>
      <c r="M364" s="892"/>
    </row>
    <row r="365" spans="8:8">
      <c r="B365" s="892"/>
      <c r="C365" s="892"/>
      <c r="D365" s="892"/>
      <c r="E365" s="892"/>
      <c r="F365" s="892"/>
      <c r="G365" s="892"/>
      <c r="H365" s="892"/>
      <c r="I365" s="892"/>
      <c r="J365" s="892"/>
      <c r="K365" s="892"/>
      <c r="L365" s="892"/>
      <c r="M365" s="892"/>
    </row>
    <row r="366" spans="8:8">
      <c r="B366" s="892"/>
      <c r="C366" s="892"/>
      <c r="D366" s="892"/>
      <c r="E366" s="892"/>
      <c r="F366" s="892"/>
      <c r="G366" s="892"/>
      <c r="H366" s="892"/>
      <c r="I366" s="892"/>
      <c r="J366" s="892"/>
      <c r="K366" s="892"/>
      <c r="L366" s="892"/>
      <c r="M366" s="892"/>
    </row>
    <row r="367" spans="8:8">
      <c r="B367" s="892"/>
      <c r="C367" s="892"/>
      <c r="D367" s="892"/>
      <c r="E367" s="892"/>
      <c r="F367" s="892"/>
      <c r="G367" s="892"/>
      <c r="H367" s="892"/>
      <c r="I367" s="892"/>
      <c r="J367" s="892"/>
      <c r="K367" s="892"/>
      <c r="L367" s="892"/>
      <c r="M367" s="892"/>
    </row>
    <row r="368" spans="8:8">
      <c r="B368" s="892"/>
      <c r="C368" s="892"/>
      <c r="D368" s="892"/>
      <c r="E368" s="892"/>
      <c r="F368" s="892"/>
      <c r="G368" s="892"/>
      <c r="H368" s="892"/>
      <c r="I368" s="892"/>
      <c r="J368" s="892"/>
      <c r="K368" s="892"/>
      <c r="L368" s="892"/>
      <c r="M368" s="892"/>
    </row>
    <row r="369" spans="8:8">
      <c r="B369" s="892"/>
      <c r="C369" s="892"/>
      <c r="D369" s="892"/>
      <c r="E369" s="892"/>
      <c r="F369" s="892"/>
      <c r="G369" s="892"/>
      <c r="H369" s="892"/>
      <c r="I369" s="892"/>
      <c r="J369" s="892"/>
      <c r="K369" s="892"/>
      <c r="L369" s="892"/>
      <c r="M369" s="892"/>
    </row>
    <row r="370" spans="8:8">
      <c r="B370" s="892"/>
      <c r="C370" s="892"/>
      <c r="D370" s="892"/>
      <c r="E370" s="892"/>
      <c r="F370" s="892"/>
      <c r="G370" s="892"/>
      <c r="H370" s="892"/>
      <c r="I370" s="892"/>
      <c r="J370" s="892"/>
      <c r="K370" s="892"/>
      <c r="L370" s="892"/>
      <c r="M370" s="892"/>
    </row>
    <row r="371" spans="8:8">
      <c r="B371" s="892"/>
      <c r="C371" s="892"/>
      <c r="D371" s="892"/>
      <c r="E371" s="892"/>
      <c r="F371" s="892"/>
      <c r="G371" s="892"/>
      <c r="H371" s="892"/>
      <c r="I371" s="892"/>
      <c r="J371" s="892"/>
      <c r="K371" s="892"/>
      <c r="L371" s="892"/>
      <c r="M371" s="892"/>
    </row>
    <row r="372" spans="8:8">
      <c r="B372" s="892"/>
      <c r="C372" s="892"/>
      <c r="D372" s="892"/>
      <c r="E372" s="892"/>
      <c r="F372" s="892"/>
      <c r="G372" s="892"/>
      <c r="H372" s="892"/>
      <c r="I372" s="892"/>
      <c r="J372" s="892"/>
      <c r="K372" s="892"/>
      <c r="L372" s="892"/>
      <c r="M372" s="892"/>
    </row>
    <row r="373" spans="8:8">
      <c r="B373" s="892"/>
      <c r="C373" s="892"/>
      <c r="D373" s="892"/>
      <c r="E373" s="892"/>
      <c r="F373" s="892"/>
      <c r="G373" s="892"/>
      <c r="H373" s="892"/>
      <c r="I373" s="892"/>
      <c r="J373" s="892"/>
      <c r="K373" s="892"/>
      <c r="L373" s="892"/>
      <c r="M373" s="892"/>
    </row>
    <row r="374" spans="8:8">
      <c r="B374" s="892"/>
      <c r="C374" s="892"/>
      <c r="D374" s="892"/>
      <c r="E374" s="892"/>
      <c r="F374" s="892"/>
      <c r="G374" s="892"/>
      <c r="H374" s="892"/>
      <c r="I374" s="892"/>
      <c r="J374" s="892"/>
      <c r="K374" s="892"/>
      <c r="L374" s="892"/>
      <c r="M374" s="892"/>
    </row>
    <row r="375" spans="8:8">
      <c r="B375" s="892"/>
      <c r="C375" s="892"/>
      <c r="D375" s="892"/>
      <c r="E375" s="892"/>
      <c r="F375" s="892"/>
      <c r="G375" s="892"/>
      <c r="H375" s="892"/>
      <c r="I375" s="892"/>
      <c r="J375" s="892"/>
      <c r="K375" s="892"/>
      <c r="L375" s="892"/>
      <c r="M375" s="892"/>
    </row>
    <row r="376" spans="8:8">
      <c r="B376" s="892"/>
      <c r="C376" s="892"/>
      <c r="D376" s="892"/>
      <c r="E376" s="892"/>
      <c r="F376" s="892"/>
      <c r="G376" s="892"/>
      <c r="H376" s="892"/>
      <c r="I376" s="892"/>
      <c r="J376" s="892"/>
      <c r="K376" s="892"/>
      <c r="L376" s="892"/>
      <c r="M376" s="892"/>
    </row>
    <row r="377" spans="8:8">
      <c r="B377" s="892"/>
      <c r="C377" s="892"/>
      <c r="D377" s="892"/>
      <c r="E377" s="892"/>
      <c r="F377" s="892"/>
      <c r="G377" s="892"/>
      <c r="H377" s="892"/>
      <c r="I377" s="892"/>
      <c r="J377" s="892"/>
      <c r="K377" s="892"/>
      <c r="L377" s="892"/>
      <c r="M377" s="892"/>
    </row>
    <row r="378" spans="8:8">
      <c r="B378" s="892"/>
      <c r="C378" s="892"/>
      <c r="D378" s="892"/>
      <c r="E378" s="892"/>
      <c r="F378" s="892"/>
      <c r="G378" s="892"/>
      <c r="H378" s="892"/>
      <c r="I378" s="892"/>
      <c r="J378" s="892"/>
      <c r="K378" s="892"/>
      <c r="L378" s="892"/>
      <c r="M378" s="892"/>
    </row>
    <row r="379" spans="8:8">
      <c r="B379" s="892"/>
      <c r="C379" s="892"/>
      <c r="D379" s="892"/>
      <c r="E379" s="892"/>
      <c r="F379" s="892"/>
      <c r="G379" s="892"/>
      <c r="H379" s="892"/>
      <c r="I379" s="892"/>
      <c r="J379" s="892"/>
      <c r="K379" s="892"/>
      <c r="L379" s="892"/>
      <c r="M379" s="892"/>
    </row>
    <row r="380" spans="8:8">
      <c r="B380" s="892"/>
      <c r="C380" s="892"/>
      <c r="D380" s="892"/>
      <c r="E380" s="892"/>
      <c r="F380" s="892"/>
      <c r="G380" s="892"/>
      <c r="H380" s="892"/>
      <c r="I380" s="892"/>
      <c r="J380" s="892"/>
      <c r="K380" s="892"/>
      <c r="L380" s="892"/>
      <c r="M380" s="892"/>
    </row>
    <row r="381" spans="8:8">
      <c r="B381" s="892"/>
      <c r="C381" s="892"/>
      <c r="D381" s="892"/>
      <c r="E381" s="892"/>
      <c r="F381" s="892"/>
      <c r="G381" s="892"/>
      <c r="H381" s="892"/>
      <c r="I381" s="892"/>
      <c r="J381" s="892"/>
      <c r="K381" s="892"/>
      <c r="L381" s="892"/>
      <c r="M381" s="892"/>
    </row>
    <row r="382" spans="8:8">
      <c r="B382" s="892"/>
      <c r="C382" s="892"/>
      <c r="D382" s="892"/>
      <c r="E382" s="892"/>
      <c r="F382" s="892"/>
      <c r="G382" s="892"/>
      <c r="H382" s="892"/>
      <c r="I382" s="892"/>
      <c r="J382" s="892"/>
      <c r="K382" s="892"/>
      <c r="L382" s="892"/>
      <c r="M382" s="892"/>
    </row>
    <row r="383" spans="8:8">
      <c r="B383" s="892"/>
      <c r="C383" s="892"/>
      <c r="D383" s="892"/>
      <c r="E383" s="892"/>
      <c r="F383" s="892"/>
      <c r="G383" s="892"/>
      <c r="H383" s="892"/>
      <c r="I383" s="892"/>
      <c r="J383" s="892"/>
      <c r="K383" s="892"/>
      <c r="L383" s="892"/>
      <c r="M383" s="892"/>
    </row>
    <row r="384" spans="8:8">
      <c r="B384" s="892"/>
      <c r="C384" s="892"/>
      <c r="D384" s="892"/>
      <c r="E384" s="892"/>
      <c r="F384" s="892"/>
      <c r="G384" s="892"/>
      <c r="H384" s="892"/>
      <c r="I384" s="892"/>
      <c r="J384" s="892"/>
      <c r="K384" s="892"/>
      <c r="L384" s="892"/>
      <c r="M384" s="892"/>
    </row>
    <row r="385" spans="8:8">
      <c r="B385" s="892"/>
      <c r="C385" s="892"/>
      <c r="D385" s="892"/>
      <c r="E385" s="892"/>
      <c r="F385" s="892"/>
      <c r="G385" s="892"/>
      <c r="H385" s="892"/>
      <c r="I385" s="892"/>
      <c r="J385" s="892"/>
      <c r="K385" s="892"/>
      <c r="L385" s="892"/>
      <c r="M385" s="892"/>
    </row>
    <row r="386" spans="8:8">
      <c r="B386" s="892"/>
      <c r="C386" s="892"/>
      <c r="D386" s="892"/>
      <c r="E386" s="892"/>
      <c r="F386" s="892"/>
      <c r="G386" s="892"/>
      <c r="H386" s="892"/>
      <c r="I386" s="892"/>
      <c r="J386" s="892"/>
      <c r="K386" s="892"/>
      <c r="L386" s="892"/>
      <c r="M386" s="892"/>
    </row>
    <row r="387" spans="8:8">
      <c r="B387" s="892"/>
      <c r="C387" s="892"/>
      <c r="D387" s="892"/>
      <c r="E387" s="892"/>
      <c r="F387" s="892"/>
      <c r="G387" s="892"/>
      <c r="H387" s="892"/>
      <c r="I387" s="892"/>
      <c r="J387" s="892"/>
      <c r="K387" s="892"/>
      <c r="L387" s="892"/>
      <c r="M387" s="892"/>
    </row>
    <row r="388" spans="8:8">
      <c r="B388" s="892"/>
      <c r="C388" s="892"/>
      <c r="D388" s="892"/>
      <c r="E388" s="892"/>
      <c r="F388" s="892"/>
      <c r="G388" s="892"/>
      <c r="H388" s="892"/>
      <c r="I388" s="892"/>
      <c r="J388" s="892"/>
      <c r="K388" s="892"/>
      <c r="L388" s="892"/>
      <c r="M388" s="892"/>
    </row>
    <row r="389" spans="8:8">
      <c r="B389" s="892"/>
      <c r="C389" s="892"/>
      <c r="D389" s="892"/>
      <c r="E389" s="892"/>
      <c r="F389" s="892"/>
      <c r="G389" s="892"/>
      <c r="H389" s="892"/>
      <c r="I389" s="892"/>
      <c r="J389" s="892"/>
      <c r="K389" s="892"/>
      <c r="L389" s="892"/>
      <c r="M389" s="892"/>
    </row>
    <row r="390" spans="8:8">
      <c r="B390" s="892"/>
      <c r="C390" s="892"/>
      <c r="D390" s="892"/>
      <c r="E390" s="892"/>
      <c r="F390" s="892"/>
      <c r="G390" s="892"/>
      <c r="H390" s="892"/>
      <c r="I390" s="892"/>
      <c r="J390" s="892"/>
      <c r="K390" s="892"/>
      <c r="L390" s="892"/>
      <c r="M390" s="892"/>
    </row>
    <row r="391" spans="8:8">
      <c r="B391" s="892"/>
      <c r="C391" s="892"/>
      <c r="D391" s="892"/>
      <c r="E391" s="892"/>
      <c r="F391" s="892"/>
      <c r="G391" s="892"/>
      <c r="H391" s="892"/>
      <c r="I391" s="892"/>
      <c r="J391" s="892"/>
      <c r="K391" s="892"/>
      <c r="L391" s="892"/>
      <c r="M391" s="892"/>
    </row>
    <row r="392" spans="8:8">
      <c r="B392" s="892"/>
      <c r="C392" s="892"/>
      <c r="D392" s="892"/>
      <c r="E392" s="892"/>
      <c r="F392" s="892"/>
      <c r="G392" s="892"/>
      <c r="H392" s="892"/>
      <c r="I392" s="892"/>
      <c r="J392" s="892"/>
      <c r="K392" s="892"/>
      <c r="L392" s="892"/>
      <c r="M392" s="892"/>
    </row>
    <row r="393" spans="8:8">
      <c r="B393" s="892"/>
      <c r="C393" s="892"/>
      <c r="D393" s="892"/>
      <c r="E393" s="892"/>
      <c r="F393" s="892"/>
      <c r="G393" s="892"/>
      <c r="H393" s="892"/>
      <c r="I393" s="892"/>
      <c r="J393" s="892"/>
      <c r="K393" s="892"/>
      <c r="L393" s="892"/>
      <c r="M393" s="892"/>
    </row>
    <row r="394" spans="8:8">
      <c r="B394" s="892"/>
      <c r="C394" s="892"/>
      <c r="D394" s="892"/>
      <c r="E394" s="892"/>
      <c r="F394" s="892"/>
      <c r="G394" s="892"/>
      <c r="H394" s="892"/>
      <c r="I394" s="892"/>
      <c r="J394" s="892"/>
      <c r="K394" s="892"/>
      <c r="L394" s="892"/>
      <c r="M394" s="892"/>
    </row>
    <row r="395" spans="8:8">
      <c r="B395" s="892"/>
      <c r="C395" s="892"/>
      <c r="D395" s="892"/>
      <c r="E395" s="892"/>
      <c r="F395" s="892"/>
      <c r="G395" s="892"/>
      <c r="H395" s="892"/>
      <c r="I395" s="892"/>
      <c r="J395" s="892"/>
      <c r="K395" s="892"/>
      <c r="L395" s="892"/>
      <c r="M395" s="892"/>
    </row>
    <row r="396" spans="8:8">
      <c r="B396" s="892"/>
      <c r="C396" s="892"/>
      <c r="D396" s="892"/>
      <c r="E396" s="892"/>
      <c r="F396" s="892"/>
      <c r="G396" s="892"/>
      <c r="H396" s="892"/>
      <c r="I396" s="892"/>
      <c r="J396" s="892"/>
      <c r="K396" s="892"/>
      <c r="L396" s="892"/>
      <c r="M396" s="892"/>
    </row>
    <row r="397" spans="8:8">
      <c r="B397" s="892"/>
      <c r="C397" s="892"/>
      <c r="D397" s="892"/>
      <c r="E397" s="892"/>
      <c r="F397" s="892"/>
      <c r="G397" s="892"/>
      <c r="H397" s="892"/>
      <c r="I397" s="892"/>
      <c r="J397" s="892"/>
      <c r="K397" s="892"/>
      <c r="L397" s="892"/>
      <c r="M397" s="892"/>
    </row>
    <row r="398" spans="8:8">
      <c r="B398" s="892"/>
      <c r="C398" s="892"/>
      <c r="D398" s="892"/>
      <c r="E398" s="892"/>
      <c r="F398" s="892"/>
      <c r="G398" s="892"/>
      <c r="H398" s="892"/>
      <c r="I398" s="892"/>
      <c r="J398" s="892"/>
      <c r="K398" s="892"/>
      <c r="L398" s="892"/>
      <c r="M398" s="892"/>
    </row>
    <row r="399" spans="8:8">
      <c r="B399" s="892"/>
      <c r="C399" s="892"/>
      <c r="D399" s="892"/>
      <c r="E399" s="892"/>
      <c r="F399" s="892"/>
      <c r="G399" s="892"/>
      <c r="H399" s="892"/>
      <c r="I399" s="892"/>
      <c r="J399" s="892"/>
      <c r="K399" s="892"/>
      <c r="L399" s="892"/>
      <c r="M399" s="892"/>
    </row>
    <row r="400" spans="8:8">
      <c r="B400" s="892"/>
      <c r="C400" s="892"/>
      <c r="D400" s="892"/>
      <c r="E400" s="892"/>
      <c r="F400" s="892"/>
      <c r="G400" s="892"/>
      <c r="H400" s="892"/>
      <c r="I400" s="892"/>
      <c r="J400" s="892"/>
      <c r="K400" s="892"/>
      <c r="L400" s="892"/>
      <c r="M400" s="892"/>
    </row>
    <row r="401" spans="8:8">
      <c r="B401" s="892"/>
      <c r="C401" s="892"/>
      <c r="D401" s="892"/>
      <c r="E401" s="892"/>
      <c r="F401" s="892"/>
      <c r="G401" s="892"/>
      <c r="H401" s="892"/>
      <c r="I401" s="892"/>
      <c r="J401" s="892"/>
      <c r="K401" s="892"/>
      <c r="L401" s="892"/>
      <c r="M401" s="892"/>
    </row>
    <row r="402" spans="8:8">
      <c r="B402" s="892"/>
      <c r="C402" s="892"/>
      <c r="D402" s="892"/>
      <c r="E402" s="892"/>
      <c r="F402" s="892"/>
      <c r="G402" s="892"/>
      <c r="H402" s="892"/>
      <c r="I402" s="892"/>
      <c r="J402" s="892"/>
      <c r="K402" s="892"/>
      <c r="L402" s="892"/>
      <c r="M402" s="892"/>
    </row>
    <row r="403" spans="8:8">
      <c r="B403" s="892"/>
      <c r="C403" s="892"/>
      <c r="D403" s="892"/>
      <c r="E403" s="892"/>
      <c r="F403" s="892"/>
      <c r="G403" s="892"/>
      <c r="H403" s="892"/>
      <c r="I403" s="892"/>
      <c r="J403" s="892"/>
      <c r="K403" s="892"/>
      <c r="L403" s="892"/>
      <c r="M403" s="892"/>
    </row>
    <row r="404" spans="8:8">
      <c r="B404" s="892"/>
      <c r="C404" s="892"/>
      <c r="D404" s="892"/>
      <c r="E404" s="892"/>
      <c r="F404" s="892"/>
      <c r="G404" s="892"/>
      <c r="H404" s="892"/>
      <c r="I404" s="892"/>
      <c r="J404" s="892"/>
      <c r="K404" s="892"/>
      <c r="L404" s="892"/>
      <c r="M404" s="892"/>
    </row>
    <row r="405" spans="8:8">
      <c r="B405" s="892"/>
      <c r="C405" s="892"/>
      <c r="D405" s="892"/>
      <c r="E405" s="892"/>
      <c r="F405" s="892"/>
      <c r="G405" s="892"/>
      <c r="H405" s="892"/>
      <c r="I405" s="892"/>
      <c r="J405" s="892"/>
      <c r="K405" s="892"/>
      <c r="L405" s="892"/>
      <c r="M405" s="892"/>
    </row>
    <row r="406" spans="8:8">
      <c r="B406" s="892"/>
      <c r="C406" s="892"/>
      <c r="D406" s="892"/>
      <c r="E406" s="892"/>
      <c r="F406" s="892"/>
      <c r="G406" s="892"/>
      <c r="H406" s="892"/>
      <c r="I406" s="892"/>
      <c r="J406" s="892"/>
      <c r="K406" s="892"/>
      <c r="L406" s="892"/>
      <c r="M406" s="892"/>
    </row>
    <row r="407" spans="8:8">
      <c r="B407" s="892"/>
      <c r="C407" s="892"/>
      <c r="D407" s="892"/>
      <c r="E407" s="892"/>
      <c r="F407" s="892"/>
      <c r="G407" s="892"/>
      <c r="H407" s="892"/>
      <c r="I407" s="892"/>
      <c r="J407" s="892"/>
      <c r="K407" s="892"/>
      <c r="L407" s="892"/>
      <c r="M407" s="892"/>
    </row>
    <row r="408" spans="8:8">
      <c r="B408" s="892"/>
      <c r="C408" s="892"/>
      <c r="D408" s="892"/>
      <c r="E408" s="892"/>
      <c r="F408" s="892"/>
      <c r="G408" s="892"/>
      <c r="H408" s="892"/>
      <c r="I408" s="892"/>
      <c r="J408" s="892"/>
      <c r="K408" s="892"/>
      <c r="L408" s="892"/>
      <c r="M408" s="892"/>
    </row>
    <row r="409" spans="8:8">
      <c r="B409" s="892"/>
      <c r="C409" s="892"/>
      <c r="D409" s="892"/>
      <c r="E409" s="892"/>
      <c r="F409" s="892"/>
      <c r="G409" s="892"/>
      <c r="H409" s="892"/>
      <c r="I409" s="892"/>
      <c r="J409" s="892"/>
      <c r="K409" s="892"/>
      <c r="L409" s="892"/>
      <c r="M409" s="892"/>
    </row>
    <row r="410" spans="8:8">
      <c r="B410" s="892"/>
      <c r="C410" s="892"/>
      <c r="D410" s="892"/>
      <c r="E410" s="892"/>
      <c r="F410" s="892"/>
      <c r="G410" s="892"/>
      <c r="H410" s="892"/>
      <c r="I410" s="892"/>
      <c r="J410" s="892"/>
      <c r="K410" s="892"/>
      <c r="L410" s="892"/>
      <c r="M410" s="892"/>
    </row>
    <row r="411" spans="8:8">
      <c r="B411" s="892"/>
      <c r="C411" s="892"/>
      <c r="D411" s="892"/>
      <c r="E411" s="892"/>
      <c r="F411" s="892"/>
      <c r="G411" s="892"/>
      <c r="H411" s="892"/>
      <c r="I411" s="892"/>
      <c r="J411" s="892"/>
      <c r="K411" s="892"/>
      <c r="L411" s="892"/>
      <c r="M411" s="892"/>
    </row>
    <row r="412" spans="8:8">
      <c r="B412" s="892"/>
      <c r="C412" s="892"/>
      <c r="D412" s="892"/>
      <c r="E412" s="892"/>
      <c r="F412" s="892"/>
      <c r="G412" s="892"/>
      <c r="H412" s="892"/>
      <c r="I412" s="892"/>
      <c r="J412" s="892"/>
      <c r="K412" s="892"/>
      <c r="L412" s="892"/>
      <c r="M412" s="892"/>
    </row>
    <row r="413" spans="8:8">
      <c r="B413" s="892"/>
      <c r="C413" s="892"/>
      <c r="D413" s="892"/>
      <c r="E413" s="892"/>
      <c r="F413" s="892"/>
      <c r="G413" s="892"/>
      <c r="H413" s="892"/>
      <c r="I413" s="892"/>
      <c r="J413" s="892"/>
      <c r="K413" s="892"/>
      <c r="L413" s="892"/>
      <c r="M413" s="892"/>
    </row>
    <row r="414" spans="8:8">
      <c r="B414" s="892"/>
      <c r="C414" s="892"/>
      <c r="D414" s="892"/>
      <c r="E414" s="892"/>
      <c r="F414" s="892"/>
      <c r="G414" s="892"/>
      <c r="H414" s="892"/>
      <c r="I414" s="892"/>
      <c r="J414" s="892"/>
      <c r="K414" s="892"/>
      <c r="L414" s="892"/>
      <c r="M414" s="892"/>
    </row>
    <row r="415" spans="8:8">
      <c r="B415" s="892"/>
      <c r="C415" s="892"/>
      <c r="D415" s="892"/>
      <c r="E415" s="892"/>
      <c r="F415" s="892"/>
      <c r="G415" s="892"/>
      <c r="H415" s="892"/>
      <c r="I415" s="892"/>
      <c r="J415" s="892"/>
      <c r="K415" s="892"/>
      <c r="L415" s="892"/>
      <c r="M415" s="892"/>
    </row>
    <row r="416" spans="8:8">
      <c r="B416" s="892"/>
      <c r="C416" s="892"/>
      <c r="D416" s="892"/>
      <c r="E416" s="892"/>
      <c r="F416" s="892"/>
      <c r="G416" s="892"/>
      <c r="H416" s="892"/>
      <c r="I416" s="892"/>
      <c r="J416" s="892"/>
      <c r="K416" s="892"/>
      <c r="L416" s="892"/>
      <c r="M416" s="892"/>
    </row>
    <row r="417" spans="8:8">
      <c r="B417" s="892"/>
      <c r="C417" s="892"/>
      <c r="D417" s="892"/>
      <c r="E417" s="892"/>
      <c r="F417" s="892"/>
      <c r="G417" s="892"/>
      <c r="H417" s="892"/>
      <c r="I417" s="892"/>
      <c r="J417" s="892"/>
      <c r="K417" s="892"/>
      <c r="L417" s="892"/>
      <c r="M417" s="892"/>
    </row>
    <row r="418" spans="8:8">
      <c r="B418" s="892"/>
      <c r="C418" s="892"/>
      <c r="D418" s="892"/>
      <c r="E418" s="892"/>
      <c r="F418" s="892"/>
      <c r="G418" s="892"/>
      <c r="H418" s="892"/>
      <c r="I418" s="892"/>
      <c r="J418" s="892"/>
      <c r="K418" s="892"/>
      <c r="L418" s="892"/>
      <c r="M418" s="892"/>
    </row>
    <row r="419" spans="8:8">
      <c r="B419" s="892"/>
      <c r="C419" s="892"/>
      <c r="D419" s="892"/>
      <c r="E419" s="892"/>
      <c r="F419" s="892"/>
      <c r="G419" s="892"/>
      <c r="H419" s="892"/>
      <c r="I419" s="892"/>
      <c r="J419" s="892"/>
      <c r="K419" s="892"/>
      <c r="L419" s="892"/>
      <c r="M419" s="892"/>
    </row>
    <row r="420" spans="8:8">
      <c r="B420" s="892"/>
      <c r="C420" s="892"/>
      <c r="D420" s="892"/>
      <c r="E420" s="892"/>
      <c r="F420" s="892"/>
      <c r="G420" s="892"/>
      <c r="H420" s="892"/>
      <c r="I420" s="892"/>
      <c r="J420" s="892"/>
      <c r="K420" s="892"/>
      <c r="L420" s="892"/>
      <c r="M420" s="892"/>
    </row>
    <row r="421" spans="8:8">
      <c r="B421" s="892"/>
      <c r="C421" s="892"/>
      <c r="D421" s="892"/>
      <c r="E421" s="892"/>
      <c r="F421" s="892"/>
      <c r="G421" s="892"/>
      <c r="H421" s="892"/>
      <c r="I421" s="892"/>
      <c r="J421" s="892"/>
      <c r="K421" s="892"/>
      <c r="L421" s="892"/>
      <c r="M421" s="892"/>
    </row>
    <row r="422" spans="8:8">
      <c r="B422" s="892"/>
      <c r="C422" s="892"/>
      <c r="D422" s="892"/>
      <c r="E422" s="892"/>
      <c r="F422" s="892"/>
      <c r="G422" s="892"/>
      <c r="H422" s="892"/>
      <c r="I422" s="892"/>
      <c r="J422" s="892"/>
      <c r="K422" s="892"/>
      <c r="L422" s="892"/>
      <c r="M422" s="892"/>
    </row>
    <row r="423" spans="8:8">
      <c r="B423" s="892"/>
      <c r="C423" s="892"/>
      <c r="D423" s="892"/>
      <c r="E423" s="892"/>
      <c r="F423" s="892"/>
      <c r="G423" s="892"/>
      <c r="H423" s="892"/>
      <c r="I423" s="892"/>
      <c r="J423" s="892"/>
      <c r="K423" s="892"/>
      <c r="L423" s="892"/>
      <c r="M423" s="892"/>
    </row>
    <row r="424" spans="8:8">
      <c r="B424" s="892"/>
      <c r="C424" s="892"/>
      <c r="D424" s="892"/>
      <c r="E424" s="892"/>
      <c r="F424" s="892"/>
      <c r="G424" s="892"/>
      <c r="H424" s="892"/>
      <c r="I424" s="892"/>
      <c r="J424" s="892"/>
      <c r="K424" s="892"/>
      <c r="L424" s="892"/>
      <c r="M424" s="892"/>
    </row>
    <row r="425" spans="8:8">
      <c r="B425" s="892"/>
      <c r="C425" s="892"/>
      <c r="D425" s="892"/>
      <c r="E425" s="892"/>
      <c r="F425" s="892"/>
      <c r="G425" s="892"/>
      <c r="H425" s="892"/>
      <c r="I425" s="892"/>
      <c r="J425" s="892"/>
      <c r="K425" s="892"/>
      <c r="L425" s="892"/>
      <c r="M425" s="892"/>
    </row>
    <row r="426" spans="8:8">
      <c r="B426" s="892"/>
      <c r="C426" s="892"/>
      <c r="D426" s="892"/>
      <c r="E426" s="892"/>
      <c r="F426" s="892"/>
      <c r="G426" s="892"/>
      <c r="H426" s="892"/>
      <c r="I426" s="892"/>
      <c r="J426" s="892"/>
      <c r="K426" s="892"/>
      <c r="L426" s="892"/>
      <c r="M426" s="892"/>
    </row>
    <row r="427" spans="8:8">
      <c r="B427" s="892"/>
      <c r="C427" s="892"/>
      <c r="D427" s="892"/>
      <c r="E427" s="892"/>
      <c r="F427" s="892"/>
      <c r="G427" s="892"/>
      <c r="H427" s="892"/>
      <c r="I427" s="892"/>
      <c r="J427" s="892"/>
      <c r="K427" s="892"/>
      <c r="L427" s="892"/>
      <c r="M427" s="892"/>
    </row>
    <row r="428" spans="8:8">
      <c r="B428" s="892"/>
      <c r="C428" s="892"/>
      <c r="D428" s="892"/>
      <c r="E428" s="892"/>
      <c r="F428" s="892"/>
      <c r="G428" s="892"/>
      <c r="H428" s="892"/>
      <c r="I428" s="892"/>
      <c r="J428" s="892"/>
      <c r="K428" s="892"/>
      <c r="L428" s="892"/>
      <c r="M428" s="892"/>
    </row>
    <row r="429" spans="8:8">
      <c r="B429" s="892"/>
      <c r="C429" s="892"/>
      <c r="D429" s="892"/>
      <c r="E429" s="892"/>
      <c r="F429" s="892"/>
      <c r="G429" s="892"/>
      <c r="H429" s="892"/>
      <c r="I429" s="892"/>
      <c r="J429" s="892"/>
      <c r="K429" s="892"/>
      <c r="L429" s="892"/>
      <c r="M429" s="892"/>
    </row>
    <row r="430" spans="8:8">
      <c r="B430" s="892"/>
      <c r="C430" s="892"/>
      <c r="D430" s="892"/>
      <c r="E430" s="892"/>
      <c r="F430" s="892"/>
      <c r="G430" s="892"/>
      <c r="H430" s="892"/>
      <c r="I430" s="892"/>
      <c r="J430" s="892"/>
      <c r="K430" s="892"/>
      <c r="L430" s="892"/>
      <c r="M430" s="892"/>
    </row>
    <row r="431" spans="8:8">
      <c r="B431" s="892"/>
      <c r="C431" s="892"/>
      <c r="D431" s="892"/>
      <c r="E431" s="892"/>
      <c r="F431" s="892"/>
      <c r="G431" s="892"/>
      <c r="H431" s="892"/>
      <c r="I431" s="892"/>
      <c r="J431" s="892"/>
      <c r="K431" s="892"/>
      <c r="L431" s="892"/>
      <c r="M431" s="892"/>
    </row>
    <row r="432" spans="8:8">
      <c r="B432" s="892"/>
      <c r="C432" s="892"/>
      <c r="D432" s="892"/>
      <c r="E432" s="892"/>
      <c r="F432" s="892"/>
      <c r="G432" s="892"/>
      <c r="H432" s="892"/>
      <c r="I432" s="892"/>
      <c r="J432" s="892"/>
      <c r="K432" s="892"/>
      <c r="L432" s="892"/>
      <c r="M432" s="892"/>
    </row>
    <row r="433" spans="8:8">
      <c r="B433" s="892"/>
      <c r="C433" s="892"/>
      <c r="D433" s="892"/>
      <c r="E433" s="892"/>
      <c r="F433" s="892"/>
      <c r="G433" s="892"/>
      <c r="H433" s="892"/>
      <c r="I433" s="892"/>
      <c r="J433" s="892"/>
      <c r="K433" s="892"/>
      <c r="L433" s="892"/>
      <c r="M433" s="892"/>
    </row>
  </sheetData>
  <mergeCells count="12">
    <mergeCell ref="C38:L38"/>
    <mergeCell ref="C23:L23"/>
    <mergeCell ref="F25:I25"/>
    <mergeCell ref="C27:L27"/>
    <mergeCell ref="C31:L31"/>
    <mergeCell ref="C33:L33"/>
    <mergeCell ref="C35:L35"/>
    <mergeCell ref="C3:L3"/>
    <mergeCell ref="C4:L4"/>
    <mergeCell ref="C5:L5"/>
    <mergeCell ref="C17:L17"/>
    <mergeCell ref="C19:L19"/>
  </mergeCells>
  <pageMargins left="0.7" right="0.7" top="0.75" bottom="0.75" header="0.3" footer="0.3"/>
  <pageSetup paperSize="9" scale="85"/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tabColor rgb="FF0070C0"/>
  </sheetPr>
  <dimension ref="A1:P485"/>
  <sheetViews>
    <sheetView workbookViewId="0" showGridLines="0" showRowColHeaders="0">
      <selection activeCell="C5" sqref="C5:J5"/>
    </sheetView>
  </sheetViews>
  <sheetFormatPr defaultRowHeight="12.75" defaultColWidth="10"/>
  <cols>
    <col min="1" max="1" customWidth="1" width="6.0" style="1101"/>
    <col min="2" max="2" customWidth="1" width="4.140625" style="1102"/>
    <col min="3" max="9" customWidth="0" width="9.140625" style="1102"/>
    <col min="10" max="10" customWidth="1" width="26.0" style="1102"/>
    <col min="11" max="11" customWidth="1" width="4.4257812" style="1102"/>
    <col min="12" max="16384" customWidth="0" width="9.140625" style="1102"/>
  </cols>
  <sheetData>
    <row r="1" spans="8:8">
      <c r="A1" s="1103"/>
      <c r="B1" s="1103"/>
      <c r="C1" s="1103"/>
      <c r="D1" s="1103"/>
      <c r="E1" s="1103"/>
      <c r="F1" s="1103"/>
      <c r="G1" s="1103"/>
      <c r="H1" s="1103"/>
      <c r="I1" s="1103"/>
      <c r="J1" s="1103"/>
      <c r="K1" s="1103"/>
      <c r="L1" s="1103"/>
      <c r="M1" s="1103"/>
    </row>
    <row r="2" spans="8:8">
      <c r="A2" s="1103"/>
      <c r="B2" s="1103"/>
      <c r="C2" s="1103"/>
      <c r="D2" s="1103"/>
      <c r="E2" s="1103"/>
      <c r="F2" s="1103"/>
      <c r="G2" s="1103"/>
      <c r="H2" s="1103"/>
      <c r="I2" s="1103"/>
      <c r="J2" s="1103"/>
      <c r="K2" s="1103"/>
      <c r="L2" s="1103"/>
      <c r="M2" s="1103"/>
    </row>
    <row r="3" spans="8:8" s="1101" ht="13.5" customFormat="1">
      <c r="A3" s="1103"/>
      <c r="B3" s="1103"/>
      <c r="C3" s="1103"/>
      <c r="D3" s="1103"/>
      <c r="E3" s="1103"/>
      <c r="F3" s="1103"/>
      <c r="G3" s="1103"/>
      <c r="H3" s="1103"/>
      <c r="I3" s="1103"/>
      <c r="J3" s="1103"/>
      <c r="K3" s="1103"/>
      <c r="L3" s="1103"/>
      <c r="M3" s="1103"/>
    </row>
    <row r="4" spans="8:8" ht="14.25">
      <c r="A4" s="1103"/>
      <c r="B4" s="1104"/>
      <c r="C4" s="1073"/>
      <c r="D4" s="1073"/>
      <c r="E4" s="1073"/>
      <c r="F4" s="1073"/>
      <c r="G4" s="1073"/>
      <c r="H4" s="1073"/>
      <c r="I4" s="1073"/>
      <c r="J4" s="1073"/>
      <c r="K4" s="1074"/>
      <c r="L4" s="1103"/>
      <c r="M4" s="1103"/>
    </row>
    <row r="5" spans="8:8" ht="18.0">
      <c r="A5" s="1103"/>
      <c r="B5" s="1105"/>
      <c r="C5" s="1106" t="s">
        <v>349</v>
      </c>
      <c r="D5" s="1106"/>
      <c r="E5" s="1106"/>
      <c r="F5" s="1106"/>
      <c r="G5" s="1106"/>
      <c r="H5" s="1106"/>
      <c r="I5" s="1106"/>
      <c r="J5" s="1106"/>
      <c r="K5" s="1107"/>
      <c r="L5" s="1103"/>
      <c r="M5" s="1103"/>
    </row>
    <row r="6" spans="8:8" ht="15.0">
      <c r="A6" s="1103"/>
      <c r="B6" s="1105"/>
      <c r="C6" s="1108" t="s">
        <v>350</v>
      </c>
      <c r="D6" s="1108"/>
      <c r="E6" s="1108"/>
      <c r="F6" s="1108"/>
      <c r="G6" s="1108"/>
      <c r="H6" s="1108"/>
      <c r="I6" s="1108"/>
      <c r="J6" s="1108"/>
      <c r="K6" s="1109"/>
      <c r="L6" s="1103"/>
      <c r="M6" s="1103"/>
    </row>
    <row r="7" spans="8:8">
      <c r="A7" s="1103"/>
      <c r="B7" s="1105"/>
      <c r="C7" s="1110" t="s">
        <v>351</v>
      </c>
      <c r="D7" s="1110"/>
      <c r="E7" s="1110"/>
      <c r="F7" s="1110"/>
      <c r="G7" s="1110"/>
      <c r="H7" s="1110"/>
      <c r="I7" s="1110"/>
      <c r="J7" s="1110"/>
      <c r="K7" s="1111"/>
      <c r="L7" s="1103"/>
      <c r="M7" s="1103"/>
    </row>
    <row r="8" spans="8:8">
      <c r="A8" s="1103"/>
      <c r="B8" s="1105"/>
      <c r="C8" s="1112" t="s">
        <v>352</v>
      </c>
      <c r="D8" s="1112"/>
      <c r="E8" s="1112"/>
      <c r="F8" s="1112"/>
      <c r="G8" s="1112"/>
      <c r="H8" s="1112"/>
      <c r="I8" s="1112"/>
      <c r="J8" s="1112"/>
      <c r="K8" s="1111"/>
      <c r="L8" s="1103"/>
      <c r="M8" s="1103"/>
    </row>
    <row r="9" spans="8:8" ht="14.25">
      <c r="A9" s="1103"/>
      <c r="B9" s="1105"/>
      <c r="C9" s="1092"/>
      <c r="D9" s="1092"/>
      <c r="E9" s="1092"/>
      <c r="F9" s="1092"/>
      <c r="G9" s="1092"/>
      <c r="H9" s="1092"/>
      <c r="I9" s="1092"/>
      <c r="J9" s="1092"/>
      <c r="K9" s="1093"/>
      <c r="L9" s="1103"/>
      <c r="M9" s="1103"/>
    </row>
    <row r="10" spans="8:8" ht="14.25">
      <c r="A10" s="1103"/>
      <c r="B10" s="1105"/>
      <c r="C10" s="1089"/>
      <c r="D10" s="1089"/>
      <c r="E10" s="1089"/>
      <c r="F10" s="1089"/>
      <c r="G10" s="1089"/>
      <c r="H10" s="1089"/>
      <c r="I10" s="1089" t="s">
        <v>353</v>
      </c>
      <c r="J10" s="1089"/>
      <c r="K10" s="1090"/>
      <c r="L10" s="1103"/>
      <c r="M10" s="1103"/>
    </row>
    <row r="11" spans="8:8" ht="14.25">
      <c r="A11" s="1103"/>
      <c r="B11" s="1105"/>
      <c r="C11" s="1080"/>
      <c r="D11" s="1089"/>
      <c r="E11" s="1089"/>
      <c r="F11" s="1089"/>
      <c r="G11" s="1089"/>
      <c r="H11" s="1089"/>
      <c r="I11" s="1089" t="s">
        <v>354</v>
      </c>
      <c r="J11" s="1089"/>
      <c r="K11" s="1090"/>
      <c r="L11" s="1103"/>
      <c r="M11" s="1103"/>
    </row>
    <row r="12" spans="8:8" ht="14.25">
      <c r="A12" s="1103"/>
      <c r="B12" s="1105"/>
      <c r="C12" s="1080"/>
      <c r="D12" s="1089"/>
      <c r="E12" s="1089"/>
      <c r="F12" s="1089"/>
      <c r="G12" s="1089"/>
      <c r="H12" s="1089"/>
      <c r="I12" s="1089"/>
      <c r="J12" s="1089"/>
      <c r="K12" s="1090"/>
      <c r="L12" s="1103"/>
      <c r="M12" s="1103"/>
    </row>
    <row r="13" spans="8:8" ht="14.25">
      <c r="A13" s="1103"/>
      <c r="B13" s="1105"/>
      <c r="C13" s="1082" t="s">
        <v>355</v>
      </c>
      <c r="D13" s="1082"/>
      <c r="E13" s="1082"/>
      <c r="F13" s="1082"/>
      <c r="G13" s="1082"/>
      <c r="H13" s="1082"/>
      <c r="I13" s="1082"/>
      <c r="J13" s="1082"/>
      <c r="K13" s="1083"/>
      <c r="L13" s="1103"/>
      <c r="M13" s="1103"/>
    </row>
    <row r="14" spans="8:8" ht="14.25">
      <c r="A14" s="1103"/>
      <c r="B14" s="1105"/>
      <c r="C14" s="1082" t="s">
        <v>356</v>
      </c>
      <c r="D14" s="1082"/>
      <c r="E14" s="1082"/>
      <c r="F14" s="1082"/>
      <c r="G14" s="1082"/>
      <c r="H14" s="1082"/>
      <c r="I14" s="1082"/>
      <c r="J14" s="1082"/>
      <c r="K14" s="1083"/>
      <c r="L14" s="1103"/>
      <c r="M14" s="1103"/>
    </row>
    <row r="15" spans="8:8" ht="14.25">
      <c r="A15" s="1103"/>
      <c r="B15" s="1105"/>
      <c r="C15" s="1082" t="s">
        <v>357</v>
      </c>
      <c r="D15" s="1082"/>
      <c r="E15" s="1082"/>
      <c r="F15" s="1082"/>
      <c r="G15" s="1082"/>
      <c r="H15" s="1082"/>
      <c r="I15" s="1082"/>
      <c r="J15" s="1082"/>
      <c r="K15" s="1083"/>
      <c r="L15" s="1103"/>
      <c r="M15" s="1103"/>
    </row>
    <row r="16" spans="8:8" ht="14.25">
      <c r="A16" s="1103"/>
      <c r="B16" s="1105"/>
      <c r="C16" s="1082" t="s">
        <v>358</v>
      </c>
      <c r="D16" s="1082"/>
      <c r="E16" s="1082"/>
      <c r="F16" s="1082"/>
      <c r="G16" s="1082"/>
      <c r="H16" s="1082"/>
      <c r="I16" s="1082"/>
      <c r="J16" s="1082"/>
      <c r="K16" s="1083"/>
      <c r="L16" s="1103"/>
      <c r="M16" s="1103"/>
    </row>
    <row r="17" spans="8:8" ht="14.25">
      <c r="A17" s="1103"/>
      <c r="B17" s="1105"/>
      <c r="C17" s="1080"/>
      <c r="D17" s="1080"/>
      <c r="E17" s="1080"/>
      <c r="F17" s="1080"/>
      <c r="G17" s="1080"/>
      <c r="H17" s="1080"/>
      <c r="I17" s="1080"/>
      <c r="J17" s="1080"/>
      <c r="K17" s="1081"/>
      <c r="L17" s="1103"/>
      <c r="M17" s="1103"/>
    </row>
    <row r="18" spans="8:8" ht="14.25">
      <c r="A18" s="1103"/>
      <c r="B18" s="1105"/>
      <c r="C18" s="1082" t="s">
        <v>359</v>
      </c>
      <c r="D18" s="1082"/>
      <c r="E18" s="1082"/>
      <c r="F18" s="1082"/>
      <c r="G18" s="1082"/>
      <c r="H18" s="1082"/>
      <c r="I18" s="1082"/>
      <c r="J18" s="1082"/>
      <c r="K18" s="1083"/>
      <c r="L18" s="1103"/>
      <c r="M18" s="1103"/>
    </row>
    <row r="19" spans="8:8" ht="14.25">
      <c r="A19" s="1103"/>
      <c r="B19" s="1105"/>
      <c r="C19" s="1113"/>
      <c r="D19" s="1113"/>
      <c r="E19" s="1113"/>
      <c r="F19" s="1113"/>
      <c r="G19" s="1113"/>
      <c r="H19" s="1113"/>
      <c r="I19" s="1113"/>
      <c r="J19" s="1113"/>
      <c r="K19" s="1114"/>
      <c r="L19" s="1103"/>
      <c r="M19" s="1103"/>
    </row>
    <row r="20" spans="8:8" ht="14.25">
      <c r="A20" s="1103"/>
      <c r="B20" s="1105"/>
      <c r="C20" s="1094" t="s">
        <v>360</v>
      </c>
      <c r="D20" s="1094"/>
      <c r="E20" s="1094"/>
      <c r="F20" s="1094"/>
      <c r="G20" s="1094"/>
      <c r="H20" s="1094"/>
      <c r="I20" s="1094"/>
      <c r="J20" s="1094"/>
      <c r="K20" s="1095"/>
      <c r="L20" s="1103"/>
      <c r="M20" s="1103"/>
    </row>
    <row r="21" spans="8:8" ht="14.25">
      <c r="A21" s="1103"/>
      <c r="B21" s="1105"/>
      <c r="C21" s="1080"/>
      <c r="D21" s="1080"/>
      <c r="E21" s="1080"/>
      <c r="F21" s="1080"/>
      <c r="G21" s="1080"/>
      <c r="H21" s="1080"/>
      <c r="I21" s="1080"/>
      <c r="J21" s="1080"/>
      <c r="K21" s="1081"/>
      <c r="L21" s="1103"/>
      <c r="M21" s="1103"/>
    </row>
    <row r="22" spans="8:8" ht="14.25">
      <c r="A22" s="1103"/>
      <c r="B22" s="1105"/>
      <c r="C22" s="1084" t="s">
        <v>361</v>
      </c>
      <c r="D22" s="1080"/>
      <c r="E22" s="1080"/>
      <c r="F22" s="1080"/>
      <c r="G22" s="1080"/>
      <c r="H22" s="1080"/>
      <c r="I22" s="1080"/>
      <c r="J22" s="1080"/>
      <c r="K22" s="1081"/>
      <c r="L22" s="1103"/>
      <c r="M22" s="1103"/>
    </row>
    <row r="23" spans="8:8" ht="14.25">
      <c r="A23" s="1103"/>
      <c r="B23" s="1105"/>
      <c r="C23" s="1080" t="s">
        <v>362</v>
      </c>
      <c r="D23" s="1080"/>
      <c r="E23" s="1080"/>
      <c r="F23" s="1080"/>
      <c r="G23" s="1080"/>
      <c r="H23" s="1080"/>
      <c r="I23" s="1080"/>
      <c r="J23" s="1080"/>
      <c r="K23" s="1081"/>
      <c r="L23" s="1103"/>
      <c r="M23" s="1103"/>
    </row>
    <row r="24" spans="8:8" ht="14.25">
      <c r="A24" s="1103"/>
      <c r="B24" s="1105"/>
      <c r="C24" s="1080" t="s">
        <v>363</v>
      </c>
      <c r="D24" s="1080"/>
      <c r="E24" s="1080"/>
      <c r="F24" s="1080"/>
      <c r="G24" s="1080"/>
      <c r="H24" s="1080"/>
      <c r="I24" s="1080"/>
      <c r="J24" s="1080"/>
      <c r="K24" s="1081"/>
      <c r="L24" s="1103"/>
      <c r="M24" s="1103"/>
    </row>
    <row r="25" spans="8:8" ht="14.25">
      <c r="A25" s="1103"/>
      <c r="B25" s="1105"/>
      <c r="C25" s="1080" t="s">
        <v>364</v>
      </c>
      <c r="D25" s="1080"/>
      <c r="E25" s="1080"/>
      <c r="F25" s="1080"/>
      <c r="G25" s="1080"/>
      <c r="H25" s="1080"/>
      <c r="I25" s="1080"/>
      <c r="J25" s="1080"/>
      <c r="K25" s="1081"/>
      <c r="L25" s="1103"/>
      <c r="M25" s="1103"/>
    </row>
    <row r="26" spans="8:8" ht="14.25">
      <c r="A26" s="1103"/>
      <c r="B26" s="1105"/>
      <c r="C26" s="1080" t="s">
        <v>365</v>
      </c>
      <c r="D26" s="1080"/>
      <c r="E26" s="1080"/>
      <c r="F26" s="1080"/>
      <c r="G26" s="1080"/>
      <c r="H26" s="1080"/>
      <c r="I26" s="1080"/>
      <c r="J26" s="1080"/>
      <c r="K26" s="1081"/>
      <c r="L26" s="1103"/>
      <c r="M26" s="1103"/>
    </row>
    <row r="27" spans="8:8" ht="14.25">
      <c r="A27" s="1103"/>
      <c r="B27" s="1105"/>
      <c r="C27" s="1080" t="s">
        <v>366</v>
      </c>
      <c r="D27" s="1080"/>
      <c r="E27" s="1080"/>
      <c r="F27" s="1080"/>
      <c r="G27" s="1080"/>
      <c r="H27" s="1080"/>
      <c r="I27" s="1080"/>
      <c r="J27" s="1080"/>
      <c r="K27" s="1081"/>
      <c r="L27" s="1103"/>
      <c r="M27" s="1103"/>
    </row>
    <row r="28" spans="8:8" ht="14.25">
      <c r="A28" s="1103"/>
      <c r="B28" s="1105"/>
      <c r="C28" s="1080" t="s">
        <v>366</v>
      </c>
      <c r="D28" s="1080"/>
      <c r="E28" s="1080"/>
      <c r="F28" s="1080"/>
      <c r="G28" s="1080"/>
      <c r="H28" s="1080"/>
      <c r="I28" s="1080"/>
      <c r="J28" s="1080"/>
      <c r="K28" s="1081"/>
      <c r="L28" s="1103"/>
      <c r="M28" s="1103"/>
    </row>
    <row r="29" spans="8:8" ht="14.25">
      <c r="A29" s="1103"/>
      <c r="B29" s="1105"/>
      <c r="C29" s="1080"/>
      <c r="D29" s="1080"/>
      <c r="E29" s="1080"/>
      <c r="F29" s="1080"/>
      <c r="G29" s="1080"/>
      <c r="H29" s="1080"/>
      <c r="I29" s="1080"/>
      <c r="J29" s="1080"/>
      <c r="K29" s="1081"/>
      <c r="L29" s="1103"/>
      <c r="M29" s="1103"/>
    </row>
    <row r="30" spans="8:8" ht="14.25">
      <c r="A30" s="1103"/>
      <c r="B30" s="1105"/>
      <c r="C30" s="1080" t="s">
        <v>367</v>
      </c>
      <c r="D30" s="1080"/>
      <c r="E30" s="1080"/>
      <c r="F30" s="1080"/>
      <c r="G30" s="1080"/>
      <c r="H30" s="1080"/>
      <c r="I30" s="1080"/>
      <c r="J30" s="1080"/>
      <c r="K30" s="1081"/>
      <c r="L30" s="1103"/>
      <c r="M30" s="1103"/>
    </row>
    <row r="31" spans="8:8" ht="14.25">
      <c r="A31" s="1103"/>
      <c r="B31" s="1105"/>
      <c r="C31" s="1080" t="s">
        <v>368</v>
      </c>
      <c r="D31" s="1080"/>
      <c r="E31" s="1080"/>
      <c r="F31" s="1080"/>
      <c r="G31" s="1080"/>
      <c r="H31" s="1080"/>
      <c r="I31" s="1080"/>
      <c r="J31" s="1080"/>
      <c r="K31" s="1081"/>
      <c r="L31" s="1103"/>
      <c r="M31" s="1103"/>
    </row>
    <row r="32" spans="8:8" ht="14.25">
      <c r="A32" s="1103"/>
      <c r="B32" s="1105"/>
      <c r="C32" s="1080" t="s">
        <v>369</v>
      </c>
      <c r="D32" s="1080"/>
      <c r="E32" s="1080"/>
      <c r="F32" s="1080"/>
      <c r="G32" s="1080"/>
      <c r="H32" s="1080"/>
      <c r="I32" s="1080"/>
      <c r="J32" s="1080"/>
      <c r="K32" s="1081"/>
      <c r="L32" s="1103"/>
      <c r="M32" s="1103"/>
    </row>
    <row r="33" spans="8:8" ht="14.25">
      <c r="A33" s="1103"/>
      <c r="B33" s="1105"/>
      <c r="C33" s="1080" t="s">
        <v>370</v>
      </c>
      <c r="D33" s="1080"/>
      <c r="E33" s="1080"/>
      <c r="F33" s="1080"/>
      <c r="G33" s="1080"/>
      <c r="H33" s="1080"/>
      <c r="I33" s="1080"/>
      <c r="J33" s="1080"/>
      <c r="K33" s="1081"/>
      <c r="L33" s="1103"/>
      <c r="M33" s="1103"/>
    </row>
    <row r="34" spans="8:8" ht="15.0">
      <c r="A34" s="1103"/>
      <c r="B34" s="1115"/>
      <c r="C34" s="1097"/>
      <c r="D34" s="1097"/>
      <c r="E34" s="1097"/>
      <c r="F34" s="1097"/>
      <c r="G34" s="1097"/>
      <c r="H34" s="1097"/>
      <c r="I34" s="1097"/>
      <c r="J34" s="1097"/>
      <c r="K34" s="1098"/>
      <c r="L34" s="1103"/>
      <c r="M34" s="1103"/>
    </row>
    <row r="35" spans="8:8" ht="14.25">
      <c r="A35" s="1103"/>
      <c r="B35" s="1103"/>
      <c r="C35" s="1116"/>
      <c r="D35" s="1116"/>
      <c r="E35" s="1116"/>
      <c r="F35" s="1116"/>
      <c r="G35" s="1116"/>
      <c r="H35" s="1116"/>
      <c r="I35" s="1116"/>
      <c r="J35" s="1116"/>
      <c r="K35" s="1116"/>
      <c r="L35" s="1103"/>
      <c r="M35" s="1103"/>
    </row>
    <row r="36" spans="8:8" ht="14.25">
      <c r="A36" s="1103"/>
      <c r="B36" s="1103"/>
      <c r="C36" s="1116"/>
      <c r="D36" s="1116"/>
      <c r="E36" s="1116"/>
      <c r="F36" s="1116"/>
      <c r="G36" s="1116"/>
      <c r="H36" s="1116"/>
      <c r="I36" s="1116"/>
      <c r="J36" s="1116"/>
      <c r="K36" s="1116"/>
      <c r="L36" s="1103"/>
      <c r="M36" s="1103"/>
    </row>
    <row r="37" spans="8:8" ht="14.25">
      <c r="A37" s="1103"/>
      <c r="B37" s="1103"/>
      <c r="C37" s="1116"/>
      <c r="D37" s="1116"/>
      <c r="E37" s="1116"/>
      <c r="F37" s="1116"/>
      <c r="G37" s="1116"/>
      <c r="H37" s="1116"/>
      <c r="I37" s="1116"/>
      <c r="J37" s="1116"/>
      <c r="K37" s="1116"/>
      <c r="L37" s="1103"/>
      <c r="M37" s="1103"/>
    </row>
    <row r="38" spans="8:8" ht="14.25">
      <c r="A38" s="1103"/>
      <c r="B38" s="1103"/>
      <c r="C38" s="1116"/>
      <c r="D38" s="1116"/>
      <c r="E38" s="1116"/>
      <c r="F38" s="1116"/>
      <c r="G38" s="1116"/>
      <c r="H38" s="1116"/>
      <c r="I38" s="1116"/>
      <c r="J38" s="1116"/>
      <c r="K38" s="1116"/>
      <c r="L38" s="1103"/>
      <c r="M38" s="1103"/>
    </row>
    <row r="39" spans="8:8" ht="14.25">
      <c r="A39" s="1103"/>
      <c r="B39" s="1103"/>
      <c r="C39" s="1116"/>
      <c r="D39" s="1116"/>
      <c r="E39" s="1116"/>
      <c r="F39" s="1116"/>
      <c r="G39" s="1116"/>
      <c r="H39" s="1116"/>
      <c r="I39" s="1116"/>
      <c r="J39" s="1116"/>
      <c r="K39" s="1116"/>
      <c r="L39" s="1103"/>
      <c r="M39" s="1103"/>
    </row>
    <row r="40" spans="8:8" ht="14.25">
      <c r="A40" s="1103"/>
      <c r="B40" s="1103"/>
      <c r="C40" s="1116"/>
      <c r="D40" s="1116"/>
      <c r="E40" s="1116"/>
      <c r="F40" s="1116"/>
      <c r="G40" s="1116"/>
      <c r="H40" s="1116"/>
      <c r="I40" s="1116"/>
      <c r="J40" s="1116"/>
      <c r="K40" s="1116"/>
      <c r="L40" s="1103"/>
      <c r="M40" s="1103"/>
    </row>
    <row r="41" spans="8:8" ht="14.25">
      <c r="A41" s="1103"/>
      <c r="B41" s="1103"/>
      <c r="C41" s="1116"/>
      <c r="D41" s="1116"/>
      <c r="E41" s="1116"/>
      <c r="F41" s="1116"/>
      <c r="G41" s="1116"/>
      <c r="H41" s="1116"/>
      <c r="I41" s="1116"/>
      <c r="J41" s="1116"/>
      <c r="K41" s="1116"/>
      <c r="L41" s="1103"/>
      <c r="M41" s="1103"/>
    </row>
    <row r="42" spans="8:8" ht="14.25">
      <c r="B42" s="1101"/>
      <c r="C42" s="1117"/>
      <c r="D42" s="1117"/>
      <c r="E42" s="1117"/>
      <c r="F42" s="1117"/>
      <c r="G42" s="1117"/>
      <c r="H42" s="1117"/>
      <c r="I42" s="1117"/>
      <c r="J42" s="1117"/>
      <c r="K42" s="1117"/>
      <c r="L42" s="1101"/>
      <c r="M42" s="1101"/>
    </row>
    <row r="43" spans="8:8" ht="14.25">
      <c r="B43" s="1101"/>
      <c r="C43" s="1117"/>
      <c r="D43" s="1117"/>
      <c r="E43" s="1117"/>
      <c r="F43" s="1117"/>
      <c r="G43" s="1117"/>
      <c r="H43" s="1117"/>
      <c r="I43" s="1117"/>
      <c r="J43" s="1117"/>
      <c r="K43" s="1117"/>
      <c r="L43" s="1101"/>
      <c r="M43" s="1101"/>
    </row>
    <row r="44" spans="8:8" ht="14.25">
      <c r="B44" s="1101"/>
      <c r="C44" s="1117"/>
      <c r="D44" s="1117"/>
      <c r="E44" s="1117"/>
      <c r="F44" s="1117"/>
      <c r="G44" s="1117"/>
      <c r="H44" s="1117"/>
      <c r="I44" s="1117"/>
      <c r="J44" s="1117"/>
      <c r="K44" s="1117"/>
      <c r="L44" s="1101"/>
      <c r="M44" s="1101"/>
    </row>
    <row r="45" spans="8:8" ht="14.25">
      <c r="B45" s="1101"/>
      <c r="C45" s="1117"/>
      <c r="D45" s="1117"/>
      <c r="E45" s="1117"/>
      <c r="F45" s="1117"/>
      <c r="G45" s="1117"/>
      <c r="H45" s="1117"/>
      <c r="I45" s="1117"/>
      <c r="J45" s="1117"/>
      <c r="K45" s="1117"/>
      <c r="L45" s="1101"/>
      <c r="M45" s="1101"/>
    </row>
    <row r="46" spans="8:8" ht="14.25">
      <c r="B46" s="1101"/>
      <c r="C46" s="1117"/>
      <c r="D46" s="1117"/>
      <c r="E46" s="1117"/>
      <c r="F46" s="1117"/>
      <c r="G46" s="1117"/>
      <c r="H46" s="1117"/>
      <c r="I46" s="1117"/>
      <c r="J46" s="1117"/>
      <c r="K46" s="1117"/>
      <c r="L46" s="1101"/>
      <c r="M46" s="1101"/>
    </row>
    <row r="47" spans="8:8" ht="14.25">
      <c r="B47" s="1101"/>
      <c r="C47" s="1117"/>
      <c r="D47" s="1117"/>
      <c r="E47" s="1117"/>
      <c r="F47" s="1117"/>
      <c r="G47" s="1117"/>
      <c r="H47" s="1117"/>
      <c r="I47" s="1117"/>
      <c r="J47" s="1117"/>
      <c r="K47" s="1117"/>
      <c r="L47" s="1101"/>
      <c r="M47" s="1101"/>
    </row>
    <row r="48" spans="8:8" ht="14.25">
      <c r="B48" s="1101"/>
      <c r="C48" s="1117"/>
      <c r="D48" s="1117"/>
      <c r="E48" s="1117"/>
      <c r="F48" s="1117"/>
      <c r="G48" s="1117"/>
      <c r="H48" s="1117"/>
      <c r="I48" s="1117"/>
      <c r="J48" s="1117"/>
      <c r="K48" s="1117"/>
      <c r="L48" s="1101"/>
      <c r="M48" s="1101"/>
    </row>
    <row r="49" spans="8:8" ht="14.25">
      <c r="B49" s="1101"/>
      <c r="C49" s="1117"/>
      <c r="D49" s="1117"/>
      <c r="E49" s="1117"/>
      <c r="F49" s="1117"/>
      <c r="G49" s="1117"/>
      <c r="H49" s="1117"/>
      <c r="I49" s="1117"/>
      <c r="J49" s="1117"/>
      <c r="K49" s="1117"/>
      <c r="L49" s="1101"/>
      <c r="M49" s="1101"/>
    </row>
    <row r="50" spans="8:8" ht="14.25">
      <c r="B50" s="1101"/>
      <c r="C50" s="1117"/>
      <c r="D50" s="1117"/>
      <c r="E50" s="1117"/>
      <c r="F50" s="1117"/>
      <c r="G50" s="1117"/>
      <c r="H50" s="1117"/>
      <c r="I50" s="1117"/>
      <c r="J50" s="1117"/>
      <c r="K50" s="1117"/>
      <c r="L50" s="1101"/>
      <c r="M50" s="1101"/>
    </row>
    <row r="51" spans="8:8" ht="14.25">
      <c r="B51" s="1101"/>
      <c r="C51" s="1117"/>
      <c r="D51" s="1117"/>
      <c r="E51" s="1117"/>
      <c r="F51" s="1117"/>
      <c r="G51" s="1117"/>
      <c r="H51" s="1117"/>
      <c r="I51" s="1117"/>
      <c r="J51" s="1117"/>
      <c r="K51" s="1117"/>
      <c r="L51" s="1101"/>
      <c r="M51" s="1101"/>
    </row>
    <row r="52" spans="8:8" ht="14.25">
      <c r="B52" s="1101"/>
      <c r="C52" s="1117"/>
      <c r="D52" s="1117"/>
      <c r="E52" s="1117"/>
      <c r="F52" s="1117"/>
      <c r="G52" s="1117"/>
      <c r="H52" s="1117"/>
      <c r="I52" s="1117"/>
      <c r="J52" s="1117"/>
      <c r="K52" s="1117"/>
      <c r="L52" s="1101"/>
      <c r="M52" s="1101"/>
    </row>
    <row r="53" spans="8:8" ht="14.25">
      <c r="B53" s="1101"/>
      <c r="C53" s="1117"/>
      <c r="D53" s="1117"/>
      <c r="E53" s="1117"/>
      <c r="F53" s="1117"/>
      <c r="G53" s="1117"/>
      <c r="H53" s="1117"/>
      <c r="I53" s="1117"/>
      <c r="J53" s="1117"/>
      <c r="K53" s="1117"/>
      <c r="L53" s="1101"/>
      <c r="M53" s="1101"/>
    </row>
    <row r="54" spans="8:8" ht="14.25">
      <c r="B54" s="1101"/>
      <c r="C54" s="1117"/>
      <c r="D54" s="1117"/>
      <c r="E54" s="1117"/>
      <c r="F54" s="1117"/>
      <c r="G54" s="1117"/>
      <c r="H54" s="1117"/>
      <c r="I54" s="1117"/>
      <c r="J54" s="1117"/>
      <c r="K54" s="1117"/>
      <c r="L54" s="1101"/>
      <c r="M54" s="1101"/>
    </row>
    <row r="55" spans="8:8">
      <c r="B55" s="1101"/>
      <c r="C55" s="1101"/>
      <c r="D55" s="1101"/>
      <c r="E55" s="1101"/>
      <c r="F55" s="1101"/>
      <c r="G55" s="1101"/>
      <c r="H55" s="1101"/>
      <c r="I55" s="1101"/>
      <c r="J55" s="1101"/>
      <c r="K55" s="1101"/>
      <c r="L55" s="1101"/>
      <c r="M55" s="1101"/>
    </row>
    <row r="56" spans="8:8">
      <c r="B56" s="1101"/>
      <c r="C56" s="1101"/>
      <c r="D56" s="1101"/>
      <c r="E56" s="1101"/>
      <c r="F56" s="1101"/>
      <c r="G56" s="1101"/>
      <c r="H56" s="1101"/>
      <c r="I56" s="1101"/>
      <c r="J56" s="1101"/>
      <c r="K56" s="1101"/>
      <c r="L56" s="1101"/>
      <c r="M56" s="1101"/>
    </row>
    <row r="57" spans="8:8">
      <c r="B57" s="1101"/>
      <c r="C57" s="1101"/>
      <c r="D57" s="1101"/>
      <c r="E57" s="1101"/>
      <c r="F57" s="1101"/>
      <c r="G57" s="1101"/>
      <c r="H57" s="1101"/>
      <c r="I57" s="1101"/>
      <c r="J57" s="1101"/>
      <c r="K57" s="1101"/>
      <c r="L57" s="1101"/>
      <c r="M57" s="1101"/>
    </row>
    <row r="58" spans="8:8">
      <c r="B58" s="1101"/>
      <c r="C58" s="1101"/>
      <c r="D58" s="1101"/>
      <c r="E58" s="1101"/>
      <c r="F58" s="1101"/>
      <c r="G58" s="1101"/>
      <c r="H58" s="1101"/>
      <c r="I58" s="1101"/>
      <c r="J58" s="1101"/>
      <c r="K58" s="1101"/>
      <c r="L58" s="1101"/>
      <c r="M58" s="1101"/>
    </row>
    <row r="59" spans="8:8">
      <c r="B59" s="1101"/>
      <c r="C59" s="1101"/>
      <c r="D59" s="1101"/>
      <c r="E59" s="1101"/>
      <c r="F59" s="1101"/>
      <c r="G59" s="1101"/>
      <c r="H59" s="1101"/>
      <c r="I59" s="1101"/>
      <c r="J59" s="1101"/>
      <c r="K59" s="1101"/>
      <c r="L59" s="1101"/>
      <c r="M59" s="1101"/>
    </row>
    <row r="60" spans="8:8">
      <c r="B60" s="1101"/>
      <c r="C60" s="1101"/>
      <c r="D60" s="1101"/>
      <c r="E60" s="1101"/>
      <c r="F60" s="1101"/>
      <c r="G60" s="1101"/>
      <c r="H60" s="1101"/>
      <c r="I60" s="1101"/>
      <c r="J60" s="1101"/>
      <c r="K60" s="1101"/>
      <c r="L60" s="1101"/>
      <c r="M60" s="1101"/>
    </row>
    <row r="61" spans="8:8">
      <c r="B61" s="1101"/>
      <c r="C61" s="1101"/>
      <c r="D61" s="1101"/>
      <c r="E61" s="1101"/>
      <c r="F61" s="1101"/>
      <c r="G61" s="1101"/>
      <c r="H61" s="1101"/>
      <c r="I61" s="1101"/>
      <c r="J61" s="1101"/>
      <c r="K61" s="1101"/>
      <c r="L61" s="1101"/>
      <c r="M61" s="1101"/>
    </row>
    <row r="62" spans="8:8">
      <c r="B62" s="1101"/>
      <c r="C62" s="1101"/>
      <c r="D62" s="1101"/>
      <c r="E62" s="1101"/>
      <c r="F62" s="1101"/>
      <c r="G62" s="1101"/>
      <c r="H62" s="1101"/>
      <c r="I62" s="1101"/>
      <c r="J62" s="1101"/>
      <c r="K62" s="1101"/>
      <c r="L62" s="1101"/>
      <c r="M62" s="1101"/>
    </row>
    <row r="63" spans="8:8">
      <c r="B63" s="1101"/>
      <c r="C63" s="1101"/>
      <c r="D63" s="1101"/>
      <c r="E63" s="1101"/>
      <c r="F63" s="1101"/>
      <c r="G63" s="1101"/>
      <c r="H63" s="1101"/>
      <c r="I63" s="1101"/>
      <c r="J63" s="1101"/>
      <c r="K63" s="1101"/>
      <c r="L63" s="1101"/>
      <c r="M63" s="1101"/>
    </row>
    <row r="64" spans="8:8">
      <c r="B64" s="1101"/>
      <c r="C64" s="1101"/>
      <c r="D64" s="1101"/>
      <c r="E64" s="1101"/>
      <c r="F64" s="1101"/>
      <c r="G64" s="1101"/>
      <c r="H64" s="1101"/>
      <c r="I64" s="1101"/>
      <c r="J64" s="1101"/>
      <c r="K64" s="1101"/>
      <c r="L64" s="1101"/>
      <c r="M64" s="1101"/>
    </row>
    <row r="65" spans="8:8">
      <c r="B65" s="1101"/>
      <c r="C65" s="1101"/>
      <c r="D65" s="1101"/>
      <c r="E65" s="1101"/>
      <c r="F65" s="1101"/>
      <c r="G65" s="1101"/>
      <c r="H65" s="1101"/>
      <c r="I65" s="1101"/>
      <c r="J65" s="1101"/>
      <c r="K65" s="1101"/>
      <c r="L65" s="1101"/>
      <c r="M65" s="1101"/>
    </row>
    <row r="66" spans="8:8">
      <c r="B66" s="1101"/>
      <c r="C66" s="1101"/>
      <c r="D66" s="1101"/>
      <c r="E66" s="1101"/>
      <c r="F66" s="1101"/>
      <c r="G66" s="1101"/>
      <c r="H66" s="1101"/>
      <c r="I66" s="1101"/>
      <c r="J66" s="1101"/>
      <c r="K66" s="1101"/>
      <c r="L66" s="1101"/>
      <c r="M66" s="1101"/>
    </row>
    <row r="67" spans="8:8">
      <c r="B67" s="1101"/>
      <c r="C67" s="1101"/>
      <c r="D67" s="1101"/>
      <c r="E67" s="1101"/>
      <c r="F67" s="1101"/>
      <c r="G67" s="1101"/>
      <c r="H67" s="1101"/>
      <c r="I67" s="1101"/>
      <c r="J67" s="1101"/>
      <c r="K67" s="1101"/>
      <c r="L67" s="1101"/>
      <c r="M67" s="1101"/>
    </row>
    <row r="68" spans="8:8">
      <c r="B68" s="1101"/>
      <c r="C68" s="1101"/>
      <c r="D68" s="1101"/>
      <c r="E68" s="1101"/>
      <c r="F68" s="1101"/>
      <c r="G68" s="1101"/>
      <c r="H68" s="1101"/>
      <c r="I68" s="1101"/>
      <c r="J68" s="1101"/>
      <c r="K68" s="1101"/>
      <c r="L68" s="1101"/>
      <c r="M68" s="1101"/>
    </row>
    <row r="69" spans="8:8">
      <c r="B69" s="1101"/>
      <c r="C69" s="1101"/>
      <c r="D69" s="1101"/>
      <c r="E69" s="1101"/>
      <c r="F69" s="1101"/>
      <c r="G69" s="1101"/>
      <c r="H69" s="1101"/>
      <c r="I69" s="1101"/>
      <c r="J69" s="1101"/>
      <c r="K69" s="1101"/>
      <c r="L69" s="1101"/>
      <c r="M69" s="1101"/>
    </row>
    <row r="70" spans="8:8">
      <c r="B70" s="1101"/>
      <c r="C70" s="1101"/>
      <c r="D70" s="1101"/>
      <c r="E70" s="1101"/>
      <c r="F70" s="1101"/>
      <c r="G70" s="1101"/>
      <c r="H70" s="1101"/>
      <c r="I70" s="1101"/>
      <c r="J70" s="1101"/>
      <c r="K70" s="1101"/>
      <c r="L70" s="1101"/>
      <c r="M70" s="1101"/>
    </row>
    <row r="71" spans="8:8">
      <c r="B71" s="1101"/>
      <c r="C71" s="1101"/>
      <c r="D71" s="1101"/>
      <c r="E71" s="1101"/>
      <c r="F71" s="1101"/>
      <c r="G71" s="1101"/>
      <c r="H71" s="1101"/>
      <c r="I71" s="1101"/>
      <c r="J71" s="1101"/>
      <c r="K71" s="1101"/>
      <c r="L71" s="1101"/>
      <c r="M71" s="1101"/>
    </row>
    <row r="72" spans="8:8">
      <c r="B72" s="1101"/>
      <c r="C72" s="1101"/>
      <c r="D72" s="1101"/>
      <c r="E72" s="1101"/>
      <c r="F72" s="1101"/>
      <c r="G72" s="1101"/>
      <c r="H72" s="1101"/>
      <c r="I72" s="1101"/>
      <c r="J72" s="1101"/>
      <c r="K72" s="1101"/>
      <c r="L72" s="1101"/>
      <c r="M72" s="1101"/>
    </row>
    <row r="73" spans="8:8">
      <c r="B73" s="1101"/>
      <c r="C73" s="1101"/>
      <c r="D73" s="1101"/>
      <c r="E73" s="1101"/>
      <c r="F73" s="1101"/>
      <c r="G73" s="1101"/>
      <c r="H73" s="1101"/>
      <c r="I73" s="1101"/>
      <c r="J73" s="1101"/>
      <c r="K73" s="1101"/>
      <c r="L73" s="1101"/>
      <c r="M73" s="1101"/>
    </row>
    <row r="74" spans="8:8">
      <c r="B74" s="1101"/>
      <c r="C74" s="1101"/>
      <c r="D74" s="1101"/>
      <c r="E74" s="1101"/>
      <c r="F74" s="1101"/>
      <c r="G74" s="1101"/>
      <c r="H74" s="1101"/>
      <c r="I74" s="1101"/>
      <c r="J74" s="1101"/>
      <c r="K74" s="1101"/>
      <c r="L74" s="1101"/>
      <c r="M74" s="1101"/>
    </row>
    <row r="75" spans="8:8">
      <c r="B75" s="1101"/>
      <c r="C75" s="1101"/>
      <c r="D75" s="1101"/>
      <c r="E75" s="1101"/>
      <c r="F75" s="1101"/>
      <c r="G75" s="1101"/>
      <c r="H75" s="1101"/>
      <c r="I75" s="1101"/>
      <c r="J75" s="1101"/>
      <c r="K75" s="1101"/>
      <c r="L75" s="1101"/>
      <c r="M75" s="1101"/>
    </row>
    <row r="76" spans="8:8">
      <c r="B76" s="1101"/>
      <c r="C76" s="1101"/>
      <c r="D76" s="1101"/>
      <c r="E76" s="1101"/>
      <c r="F76" s="1101"/>
      <c r="G76" s="1101"/>
      <c r="H76" s="1101"/>
      <c r="I76" s="1101"/>
      <c r="J76" s="1101"/>
      <c r="K76" s="1101"/>
      <c r="L76" s="1101"/>
      <c r="M76" s="1101"/>
    </row>
    <row r="77" spans="8:8">
      <c r="B77" s="1101"/>
      <c r="C77" s="1101"/>
      <c r="D77" s="1101"/>
      <c r="E77" s="1101"/>
      <c r="F77" s="1101"/>
      <c r="G77" s="1101"/>
      <c r="H77" s="1101"/>
      <c r="I77" s="1101"/>
      <c r="J77" s="1101"/>
      <c r="K77" s="1101"/>
      <c r="L77" s="1101"/>
      <c r="M77" s="1101"/>
    </row>
    <row r="78" spans="8:8">
      <c r="B78" s="1101"/>
      <c r="C78" s="1101"/>
      <c r="D78" s="1101"/>
      <c r="E78" s="1101"/>
      <c r="F78" s="1101"/>
      <c r="G78" s="1101"/>
      <c r="H78" s="1101"/>
      <c r="I78" s="1101"/>
      <c r="J78" s="1101"/>
      <c r="K78" s="1101"/>
      <c r="L78" s="1101"/>
      <c r="M78" s="1101"/>
    </row>
    <row r="79" spans="8:8">
      <c r="B79" s="1101"/>
      <c r="C79" s="1101"/>
      <c r="D79" s="1101"/>
      <c r="E79" s="1101"/>
      <c r="F79" s="1101"/>
      <c r="G79" s="1101"/>
      <c r="H79" s="1101"/>
      <c r="I79" s="1101"/>
      <c r="J79" s="1101"/>
      <c r="K79" s="1101"/>
      <c r="L79" s="1101"/>
      <c r="M79" s="1101"/>
    </row>
    <row r="80" spans="8:8">
      <c r="B80" s="1101"/>
      <c r="C80" s="1101"/>
      <c r="D80" s="1101"/>
      <c r="E80" s="1101"/>
      <c r="F80" s="1101"/>
      <c r="G80" s="1101"/>
      <c r="H80" s="1101"/>
      <c r="I80" s="1101"/>
      <c r="J80" s="1101"/>
      <c r="K80" s="1101"/>
      <c r="L80" s="1101"/>
      <c r="M80" s="1101"/>
    </row>
    <row r="81" spans="8:8">
      <c r="B81" s="1101"/>
      <c r="C81" s="1101"/>
      <c r="D81" s="1101"/>
      <c r="E81" s="1101"/>
      <c r="F81" s="1101"/>
      <c r="G81" s="1101"/>
      <c r="H81" s="1101"/>
      <c r="I81" s="1101"/>
      <c r="J81" s="1101"/>
      <c r="K81" s="1101"/>
      <c r="L81" s="1101"/>
      <c r="M81" s="1101"/>
    </row>
    <row r="82" spans="8:8">
      <c r="B82" s="1101"/>
      <c r="C82" s="1101"/>
      <c r="D82" s="1101"/>
      <c r="E82" s="1101"/>
      <c r="F82" s="1101"/>
      <c r="G82" s="1101"/>
      <c r="H82" s="1101"/>
      <c r="I82" s="1101"/>
      <c r="J82" s="1101"/>
      <c r="K82" s="1101"/>
      <c r="L82" s="1101"/>
      <c r="M82" s="1101"/>
    </row>
    <row r="83" spans="8:8">
      <c r="B83" s="1101"/>
      <c r="C83" s="1101"/>
      <c r="D83" s="1101"/>
      <c r="E83" s="1101"/>
      <c r="F83" s="1101"/>
      <c r="G83" s="1101"/>
      <c r="H83" s="1101"/>
      <c r="I83" s="1101"/>
      <c r="J83" s="1101"/>
      <c r="K83" s="1101"/>
      <c r="L83" s="1101"/>
      <c r="M83" s="1101"/>
    </row>
    <row r="84" spans="8:8">
      <c r="B84" s="1101"/>
      <c r="C84" s="1101"/>
      <c r="D84" s="1101"/>
      <c r="E84" s="1101"/>
      <c r="F84" s="1101"/>
      <c r="G84" s="1101"/>
      <c r="H84" s="1101"/>
      <c r="I84" s="1101"/>
      <c r="J84" s="1101"/>
      <c r="K84" s="1101"/>
      <c r="L84" s="1101"/>
      <c r="M84" s="1101"/>
    </row>
    <row r="85" spans="8:8">
      <c r="B85" s="1101"/>
      <c r="C85" s="1101"/>
      <c r="D85" s="1101"/>
      <c r="E85" s="1101"/>
      <c r="F85" s="1101"/>
      <c r="G85" s="1101"/>
      <c r="H85" s="1101"/>
      <c r="I85" s="1101"/>
      <c r="J85" s="1101"/>
      <c r="K85" s="1101"/>
      <c r="L85" s="1101"/>
      <c r="M85" s="1101"/>
    </row>
    <row r="86" spans="8:8">
      <c r="B86" s="1101"/>
      <c r="C86" s="1101"/>
      <c r="D86" s="1101"/>
      <c r="E86" s="1101"/>
      <c r="F86" s="1101"/>
      <c r="G86" s="1101"/>
      <c r="H86" s="1101"/>
      <c r="I86" s="1101"/>
      <c r="J86" s="1101"/>
      <c r="K86" s="1101"/>
      <c r="L86" s="1101"/>
      <c r="M86" s="1101"/>
    </row>
    <row r="87" spans="8:8">
      <c r="B87" s="1101"/>
      <c r="C87" s="1101"/>
      <c r="D87" s="1101"/>
      <c r="E87" s="1101"/>
      <c r="F87" s="1101"/>
      <c r="G87" s="1101"/>
      <c r="H87" s="1101"/>
      <c r="I87" s="1101"/>
      <c r="J87" s="1101"/>
      <c r="K87" s="1101"/>
      <c r="L87" s="1101"/>
      <c r="M87" s="1101"/>
    </row>
    <row r="88" spans="8:8">
      <c r="B88" s="1101"/>
      <c r="C88" s="1101"/>
      <c r="D88" s="1101"/>
      <c r="E88" s="1101"/>
      <c r="F88" s="1101"/>
      <c r="G88" s="1101"/>
      <c r="H88" s="1101"/>
      <c r="I88" s="1101"/>
      <c r="J88" s="1101"/>
      <c r="K88" s="1101"/>
      <c r="L88" s="1101"/>
      <c r="M88" s="1101"/>
    </row>
    <row r="89" spans="8:8">
      <c r="B89" s="1101"/>
      <c r="C89" s="1101"/>
      <c r="D89" s="1101"/>
      <c r="E89" s="1101"/>
      <c r="F89" s="1101"/>
      <c r="G89" s="1101"/>
      <c r="H89" s="1101"/>
      <c r="I89" s="1101"/>
      <c r="J89" s="1101"/>
      <c r="K89" s="1101"/>
      <c r="L89" s="1101"/>
      <c r="M89" s="1101"/>
    </row>
    <row r="90" spans="8:8">
      <c r="B90" s="1101"/>
      <c r="C90" s="1101"/>
      <c r="D90" s="1101"/>
      <c r="E90" s="1101"/>
      <c r="F90" s="1101"/>
      <c r="G90" s="1101"/>
      <c r="H90" s="1101"/>
      <c r="I90" s="1101"/>
      <c r="J90" s="1101"/>
      <c r="K90" s="1101"/>
      <c r="L90" s="1101"/>
      <c r="M90" s="1101"/>
    </row>
    <row r="91" spans="8:8">
      <c r="B91" s="1101"/>
      <c r="C91" s="1101"/>
      <c r="D91" s="1101"/>
      <c r="E91" s="1101"/>
      <c r="F91" s="1101"/>
      <c r="G91" s="1101"/>
      <c r="H91" s="1101"/>
      <c r="I91" s="1101"/>
      <c r="J91" s="1101"/>
      <c r="K91" s="1101"/>
      <c r="L91" s="1101"/>
      <c r="M91" s="1101"/>
    </row>
    <row r="92" spans="8:8">
      <c r="B92" s="1101"/>
      <c r="C92" s="1101"/>
      <c r="D92" s="1101"/>
      <c r="E92" s="1101"/>
      <c r="F92" s="1101"/>
      <c r="G92" s="1101"/>
      <c r="H92" s="1101"/>
      <c r="I92" s="1101"/>
      <c r="J92" s="1101"/>
      <c r="K92" s="1101"/>
      <c r="L92" s="1101"/>
      <c r="M92" s="1101"/>
    </row>
    <row r="93" spans="8:8">
      <c r="B93" s="1101"/>
      <c r="C93" s="1101"/>
      <c r="D93" s="1101"/>
      <c r="E93" s="1101"/>
      <c r="F93" s="1101"/>
      <c r="G93" s="1101"/>
      <c r="H93" s="1101"/>
      <c r="I93" s="1101"/>
      <c r="J93" s="1101"/>
      <c r="K93" s="1101"/>
      <c r="L93" s="1101"/>
      <c r="M93" s="1101"/>
    </row>
    <row r="94" spans="8:8">
      <c r="B94" s="1101"/>
      <c r="C94" s="1101"/>
      <c r="D94" s="1101"/>
      <c r="E94" s="1101"/>
      <c r="F94" s="1101"/>
      <c r="G94" s="1101"/>
      <c r="H94" s="1101"/>
      <c r="I94" s="1101"/>
      <c r="J94" s="1101"/>
      <c r="K94" s="1101"/>
      <c r="L94" s="1101"/>
      <c r="M94" s="1101"/>
    </row>
    <row r="95" spans="8:8">
      <c r="B95" s="1101"/>
      <c r="C95" s="1101"/>
      <c r="D95" s="1101"/>
      <c r="E95" s="1101"/>
      <c r="F95" s="1101"/>
      <c r="G95" s="1101"/>
      <c r="H95" s="1101"/>
      <c r="I95" s="1101"/>
      <c r="J95" s="1101"/>
      <c r="K95" s="1101"/>
      <c r="L95" s="1101"/>
      <c r="M95" s="1101"/>
    </row>
    <row r="96" spans="8:8">
      <c r="B96" s="1101"/>
      <c r="C96" s="1101"/>
      <c r="D96" s="1101"/>
      <c r="E96" s="1101"/>
      <c r="F96" s="1101"/>
      <c r="G96" s="1101"/>
      <c r="H96" s="1101"/>
      <c r="I96" s="1101"/>
      <c r="J96" s="1101"/>
      <c r="K96" s="1101"/>
      <c r="L96" s="1101"/>
      <c r="M96" s="1101"/>
    </row>
    <row r="97" spans="8:8">
      <c r="B97" s="1101"/>
      <c r="C97" s="1101"/>
      <c r="D97" s="1101"/>
      <c r="E97" s="1101"/>
      <c r="F97" s="1101"/>
      <c r="G97" s="1101"/>
      <c r="H97" s="1101"/>
      <c r="I97" s="1101"/>
      <c r="J97" s="1101"/>
      <c r="K97" s="1101"/>
      <c r="L97" s="1101"/>
      <c r="M97" s="1101"/>
    </row>
    <row r="98" spans="8:8">
      <c r="B98" s="1101"/>
      <c r="C98" s="1101"/>
      <c r="D98" s="1101"/>
      <c r="E98" s="1101"/>
      <c r="F98" s="1101"/>
      <c r="G98" s="1101"/>
      <c r="H98" s="1101"/>
      <c r="I98" s="1101"/>
      <c r="J98" s="1101"/>
      <c r="K98" s="1101"/>
      <c r="L98" s="1101"/>
      <c r="M98" s="1101"/>
    </row>
    <row r="99" spans="8:8">
      <c r="B99" s="1101"/>
      <c r="C99" s="1101"/>
      <c r="D99" s="1101"/>
      <c r="E99" s="1101"/>
      <c r="F99" s="1101"/>
      <c r="G99" s="1101"/>
      <c r="H99" s="1101"/>
      <c r="I99" s="1101"/>
      <c r="J99" s="1101"/>
      <c r="K99" s="1101"/>
      <c r="L99" s="1101"/>
      <c r="M99" s="1101"/>
    </row>
    <row r="100" spans="8:8">
      <c r="B100" s="1101"/>
      <c r="C100" s="1101"/>
      <c r="D100" s="1101"/>
      <c r="E100" s="1101"/>
      <c r="F100" s="1101"/>
      <c r="G100" s="1101"/>
      <c r="H100" s="1101"/>
      <c r="I100" s="1101"/>
      <c r="J100" s="1101"/>
      <c r="K100" s="1101"/>
      <c r="L100" s="1101"/>
      <c r="M100" s="1101"/>
    </row>
    <row r="101" spans="8:8">
      <c r="B101" s="1101"/>
      <c r="C101" s="1101"/>
      <c r="D101" s="1101"/>
      <c r="E101" s="1101"/>
      <c r="F101" s="1101"/>
      <c r="G101" s="1101"/>
      <c r="H101" s="1101"/>
      <c r="I101" s="1101"/>
      <c r="J101" s="1101"/>
      <c r="K101" s="1101"/>
      <c r="L101" s="1101"/>
      <c r="M101" s="1101"/>
    </row>
    <row r="102" spans="8:8">
      <c r="B102" s="1101"/>
      <c r="C102" s="1101"/>
      <c r="D102" s="1101"/>
      <c r="E102" s="1101"/>
      <c r="F102" s="1101"/>
      <c r="G102" s="1101"/>
      <c r="H102" s="1101"/>
      <c r="I102" s="1101"/>
      <c r="J102" s="1101"/>
      <c r="K102" s="1101"/>
      <c r="L102" s="1101"/>
      <c r="M102" s="1101"/>
    </row>
    <row r="103" spans="8:8">
      <c r="B103" s="1101"/>
      <c r="C103" s="1101"/>
      <c r="D103" s="1101"/>
      <c r="E103" s="1101"/>
      <c r="F103" s="1101"/>
      <c r="G103" s="1101"/>
      <c r="H103" s="1101"/>
      <c r="I103" s="1101"/>
      <c r="J103" s="1101"/>
      <c r="K103" s="1101"/>
      <c r="L103" s="1101"/>
      <c r="M103" s="1101"/>
    </row>
    <row r="104" spans="8:8">
      <c r="B104" s="1101"/>
      <c r="C104" s="1101"/>
      <c r="D104" s="1101"/>
      <c r="E104" s="1101"/>
      <c r="F104" s="1101"/>
      <c r="G104" s="1101"/>
      <c r="H104" s="1101"/>
      <c r="I104" s="1101"/>
      <c r="J104" s="1101"/>
      <c r="K104" s="1101"/>
      <c r="L104" s="1101"/>
      <c r="M104" s="1101"/>
    </row>
    <row r="105" spans="8:8">
      <c r="B105" s="1101"/>
      <c r="C105" s="1101"/>
      <c r="D105" s="1101"/>
      <c r="E105" s="1101"/>
      <c r="F105" s="1101"/>
      <c r="G105" s="1101"/>
      <c r="H105" s="1101"/>
      <c r="I105" s="1101"/>
      <c r="J105" s="1101"/>
      <c r="K105" s="1101"/>
      <c r="L105" s="1101"/>
      <c r="M105" s="1101"/>
    </row>
    <row r="106" spans="8:8">
      <c r="B106" s="1101"/>
      <c r="C106" s="1101"/>
      <c r="D106" s="1101"/>
      <c r="E106" s="1101"/>
      <c r="F106" s="1101"/>
      <c r="G106" s="1101"/>
      <c r="H106" s="1101"/>
      <c r="I106" s="1101"/>
      <c r="J106" s="1101"/>
      <c r="K106" s="1101"/>
      <c r="L106" s="1101"/>
      <c r="M106" s="1101"/>
    </row>
    <row r="107" spans="8:8">
      <c r="B107" s="1101"/>
      <c r="C107" s="1101"/>
      <c r="D107" s="1101"/>
      <c r="E107" s="1101"/>
      <c r="F107" s="1101"/>
      <c r="G107" s="1101"/>
      <c r="H107" s="1101"/>
      <c r="I107" s="1101"/>
      <c r="J107" s="1101"/>
      <c r="K107" s="1101"/>
      <c r="L107" s="1101"/>
      <c r="M107" s="1101"/>
    </row>
    <row r="108" spans="8:8">
      <c r="B108" s="1101"/>
      <c r="C108" s="1101"/>
      <c r="D108" s="1101"/>
      <c r="E108" s="1101"/>
      <c r="F108" s="1101"/>
      <c r="G108" s="1101"/>
      <c r="H108" s="1101"/>
      <c r="I108" s="1101"/>
      <c r="J108" s="1101"/>
      <c r="K108" s="1101"/>
      <c r="L108" s="1101"/>
      <c r="M108" s="1101"/>
    </row>
    <row r="109" spans="8:8">
      <c r="B109" s="1101"/>
      <c r="C109" s="1101"/>
      <c r="D109" s="1101"/>
      <c r="E109" s="1101"/>
      <c r="F109" s="1101"/>
      <c r="G109" s="1101"/>
      <c r="H109" s="1101"/>
      <c r="I109" s="1101"/>
      <c r="J109" s="1101"/>
      <c r="K109" s="1101"/>
      <c r="L109" s="1101"/>
      <c r="M109" s="1101"/>
    </row>
    <row r="110" spans="8:8">
      <c r="B110" s="1101"/>
      <c r="C110" s="1101"/>
      <c r="D110" s="1101"/>
      <c r="E110" s="1101"/>
      <c r="F110" s="1101"/>
      <c r="G110" s="1101"/>
      <c r="H110" s="1101"/>
      <c r="I110" s="1101"/>
      <c r="J110" s="1101"/>
      <c r="K110" s="1101"/>
      <c r="L110" s="1101"/>
      <c r="M110" s="1101"/>
    </row>
    <row r="111" spans="8:8">
      <c r="B111" s="1101"/>
      <c r="C111" s="1101"/>
      <c r="D111" s="1101"/>
      <c r="E111" s="1101"/>
      <c r="F111" s="1101"/>
      <c r="G111" s="1101"/>
      <c r="H111" s="1101"/>
      <c r="I111" s="1101"/>
      <c r="J111" s="1101"/>
      <c r="K111" s="1101"/>
      <c r="L111" s="1101"/>
      <c r="M111" s="1101"/>
    </row>
    <row r="112" spans="8:8">
      <c r="B112" s="1101"/>
      <c r="C112" s="1101"/>
      <c r="D112" s="1101"/>
      <c r="E112" s="1101"/>
      <c r="F112" s="1101"/>
      <c r="G112" s="1101"/>
      <c r="H112" s="1101"/>
      <c r="I112" s="1101"/>
      <c r="J112" s="1101"/>
      <c r="K112" s="1101"/>
      <c r="L112" s="1101"/>
      <c r="M112" s="1101"/>
    </row>
    <row r="113" spans="8:8">
      <c r="B113" s="1101"/>
      <c r="C113" s="1101"/>
      <c r="D113" s="1101"/>
      <c r="E113" s="1101"/>
      <c r="F113" s="1101"/>
      <c r="G113" s="1101"/>
      <c r="H113" s="1101"/>
      <c r="I113" s="1101"/>
      <c r="J113" s="1101"/>
      <c r="K113" s="1101"/>
      <c r="L113" s="1101"/>
      <c r="M113" s="1101"/>
    </row>
    <row r="114" spans="8:8">
      <c r="B114" s="1101"/>
      <c r="C114" s="1101"/>
      <c r="D114" s="1101"/>
      <c r="E114" s="1101"/>
      <c r="F114" s="1101"/>
      <c r="G114" s="1101"/>
      <c r="H114" s="1101"/>
      <c r="I114" s="1101"/>
      <c r="J114" s="1101"/>
      <c r="K114" s="1101"/>
      <c r="L114" s="1101"/>
      <c r="M114" s="1101"/>
    </row>
    <row r="115" spans="8:8">
      <c r="B115" s="1101"/>
      <c r="C115" s="1101"/>
      <c r="D115" s="1101"/>
      <c r="E115" s="1101"/>
      <c r="F115" s="1101"/>
      <c r="G115" s="1101"/>
      <c r="H115" s="1101"/>
      <c r="I115" s="1101"/>
      <c r="J115" s="1101"/>
      <c r="K115" s="1101"/>
      <c r="L115" s="1101"/>
      <c r="M115" s="1101"/>
    </row>
    <row r="116" spans="8:8">
      <c r="B116" s="1101"/>
      <c r="C116" s="1101"/>
      <c r="D116" s="1101"/>
      <c r="E116" s="1101"/>
      <c r="F116" s="1101"/>
      <c r="G116" s="1101"/>
      <c r="H116" s="1101"/>
      <c r="I116" s="1101"/>
      <c r="J116" s="1101"/>
      <c r="K116" s="1101"/>
      <c r="L116" s="1101"/>
      <c r="M116" s="1101"/>
    </row>
    <row r="117" spans="8:8">
      <c r="B117" s="1101"/>
      <c r="C117" s="1101"/>
      <c r="D117" s="1101"/>
      <c r="E117" s="1101"/>
      <c r="F117" s="1101"/>
      <c r="G117" s="1101"/>
      <c r="H117" s="1101"/>
      <c r="I117" s="1101"/>
      <c r="J117" s="1101"/>
      <c r="K117" s="1101"/>
      <c r="L117" s="1101"/>
      <c r="M117" s="1101"/>
    </row>
    <row r="118" spans="8:8">
      <c r="B118" s="1101"/>
      <c r="C118" s="1101"/>
      <c r="D118" s="1101"/>
      <c r="E118" s="1101"/>
      <c r="F118" s="1101"/>
      <c r="G118" s="1101"/>
      <c r="H118" s="1101"/>
      <c r="I118" s="1101"/>
      <c r="J118" s="1101"/>
      <c r="K118" s="1101"/>
      <c r="L118" s="1101"/>
      <c r="M118" s="1101"/>
    </row>
    <row r="119" spans="8:8">
      <c r="B119" s="1101"/>
      <c r="C119" s="1101"/>
      <c r="D119" s="1101"/>
      <c r="E119" s="1101"/>
      <c r="F119" s="1101"/>
      <c r="G119" s="1101"/>
      <c r="H119" s="1101"/>
      <c r="I119" s="1101"/>
      <c r="J119" s="1101"/>
      <c r="K119" s="1101"/>
      <c r="L119" s="1101"/>
      <c r="M119" s="1101"/>
    </row>
    <row r="120" spans="8:8">
      <c r="B120" s="1101"/>
      <c r="C120" s="1101"/>
      <c r="D120" s="1101"/>
      <c r="E120" s="1101"/>
      <c r="F120" s="1101"/>
      <c r="G120" s="1101"/>
      <c r="H120" s="1101"/>
      <c r="I120" s="1101"/>
      <c r="J120" s="1101"/>
      <c r="K120" s="1101"/>
      <c r="L120" s="1101"/>
      <c r="M120" s="1101"/>
    </row>
    <row r="121" spans="8:8">
      <c r="B121" s="1101"/>
      <c r="C121" s="1101"/>
      <c r="D121" s="1101"/>
      <c r="E121" s="1101"/>
      <c r="F121" s="1101"/>
      <c r="G121" s="1101"/>
      <c r="H121" s="1101"/>
      <c r="I121" s="1101"/>
      <c r="J121" s="1101"/>
      <c r="K121" s="1101"/>
      <c r="L121" s="1101"/>
      <c r="M121" s="1101"/>
    </row>
    <row r="122" spans="8:8">
      <c r="B122" s="1101"/>
      <c r="C122" s="1101"/>
      <c r="D122" s="1101"/>
      <c r="E122" s="1101"/>
      <c r="F122" s="1101"/>
      <c r="G122" s="1101"/>
      <c r="H122" s="1101"/>
      <c r="I122" s="1101"/>
      <c r="J122" s="1101"/>
      <c r="K122" s="1101"/>
      <c r="L122" s="1101"/>
      <c r="M122" s="1101"/>
    </row>
    <row r="123" spans="8:8">
      <c r="B123" s="1101"/>
      <c r="C123" s="1101"/>
      <c r="D123" s="1101"/>
      <c r="E123" s="1101"/>
      <c r="F123" s="1101"/>
      <c r="G123" s="1101"/>
      <c r="H123" s="1101"/>
      <c r="I123" s="1101"/>
      <c r="J123" s="1101"/>
      <c r="K123" s="1101"/>
      <c r="L123" s="1101"/>
      <c r="M123" s="1101"/>
    </row>
    <row r="124" spans="8:8">
      <c r="B124" s="1101"/>
      <c r="C124" s="1101"/>
      <c r="D124" s="1101"/>
      <c r="E124" s="1101"/>
      <c r="F124" s="1101"/>
      <c r="G124" s="1101"/>
      <c r="H124" s="1101"/>
      <c r="I124" s="1101"/>
      <c r="J124" s="1101"/>
      <c r="K124" s="1101"/>
      <c r="L124" s="1101"/>
      <c r="M124" s="1101"/>
    </row>
    <row r="125" spans="8:8">
      <c r="B125" s="1101"/>
      <c r="C125" s="1101"/>
      <c r="D125" s="1101"/>
      <c r="E125" s="1101"/>
      <c r="F125" s="1101"/>
      <c r="G125" s="1101"/>
      <c r="H125" s="1101"/>
      <c r="I125" s="1101"/>
      <c r="J125" s="1101"/>
      <c r="K125" s="1101"/>
      <c r="L125" s="1101"/>
      <c r="M125" s="1101"/>
    </row>
    <row r="126" spans="8:8">
      <c r="B126" s="1101"/>
      <c r="C126" s="1101"/>
      <c r="D126" s="1101"/>
      <c r="E126" s="1101"/>
      <c r="F126" s="1101"/>
      <c r="G126" s="1101"/>
      <c r="H126" s="1101"/>
      <c r="I126" s="1101"/>
      <c r="J126" s="1101"/>
      <c r="K126" s="1101"/>
      <c r="L126" s="1101"/>
      <c r="M126" s="1101"/>
    </row>
    <row r="127" spans="8:8">
      <c r="B127" s="1101"/>
      <c r="C127" s="1101"/>
      <c r="D127" s="1101"/>
      <c r="E127" s="1101"/>
      <c r="F127" s="1101"/>
      <c r="G127" s="1101"/>
      <c r="H127" s="1101"/>
      <c r="I127" s="1101"/>
      <c r="J127" s="1101"/>
      <c r="K127" s="1101"/>
      <c r="L127" s="1101"/>
      <c r="M127" s="1101"/>
    </row>
    <row r="128" spans="8:8">
      <c r="B128" s="1101"/>
      <c r="C128" s="1101"/>
      <c r="D128" s="1101"/>
      <c r="E128" s="1101"/>
      <c r="F128" s="1101"/>
      <c r="G128" s="1101"/>
      <c r="H128" s="1101"/>
      <c r="I128" s="1101"/>
      <c r="J128" s="1101"/>
      <c r="K128" s="1101"/>
      <c r="L128" s="1101"/>
      <c r="M128" s="1101"/>
    </row>
    <row r="129" spans="8:8">
      <c r="B129" s="1101"/>
      <c r="C129" s="1101"/>
      <c r="D129" s="1101"/>
      <c r="E129" s="1101"/>
      <c r="F129" s="1101"/>
      <c r="G129" s="1101"/>
      <c r="H129" s="1101"/>
      <c r="I129" s="1101"/>
      <c r="J129" s="1101"/>
      <c r="K129" s="1101"/>
      <c r="L129" s="1101"/>
      <c r="M129" s="1101"/>
    </row>
    <row r="130" spans="8:8">
      <c r="B130" s="1101"/>
      <c r="C130" s="1101"/>
      <c r="D130" s="1101"/>
      <c r="E130" s="1101"/>
      <c r="F130" s="1101"/>
      <c r="G130" s="1101"/>
      <c r="H130" s="1101"/>
      <c r="I130" s="1101"/>
      <c r="J130" s="1101"/>
      <c r="K130" s="1101"/>
      <c r="L130" s="1101"/>
      <c r="M130" s="1101"/>
    </row>
    <row r="131" spans="8:8">
      <c r="B131" s="1101"/>
      <c r="C131" s="1101"/>
      <c r="D131" s="1101"/>
      <c r="E131" s="1101"/>
      <c r="F131" s="1101"/>
      <c r="G131" s="1101"/>
      <c r="H131" s="1101"/>
      <c r="I131" s="1101"/>
      <c r="J131" s="1101"/>
      <c r="K131" s="1101"/>
      <c r="L131" s="1101"/>
      <c r="M131" s="1101"/>
    </row>
    <row r="132" spans="8:8">
      <c r="B132" s="1101"/>
      <c r="C132" s="1101"/>
      <c r="D132" s="1101"/>
      <c r="E132" s="1101"/>
      <c r="F132" s="1101"/>
      <c r="G132" s="1101"/>
      <c r="H132" s="1101"/>
      <c r="I132" s="1101"/>
      <c r="J132" s="1101"/>
      <c r="K132" s="1101"/>
      <c r="L132" s="1101"/>
      <c r="M132" s="1101"/>
    </row>
    <row r="133" spans="8:8">
      <c r="B133" s="1101"/>
      <c r="C133" s="1101"/>
      <c r="D133" s="1101"/>
      <c r="E133" s="1101"/>
      <c r="F133" s="1101"/>
      <c r="G133" s="1101"/>
      <c r="H133" s="1101"/>
      <c r="I133" s="1101"/>
      <c r="J133" s="1101"/>
      <c r="K133" s="1101"/>
      <c r="L133" s="1101"/>
      <c r="M133" s="1101"/>
    </row>
    <row r="134" spans="8:8">
      <c r="B134" s="1101"/>
      <c r="C134" s="1101"/>
      <c r="D134" s="1101"/>
      <c r="E134" s="1101"/>
      <c r="F134" s="1101"/>
      <c r="G134" s="1101"/>
      <c r="H134" s="1101"/>
      <c r="I134" s="1101"/>
      <c r="J134" s="1101"/>
      <c r="K134" s="1101"/>
      <c r="L134" s="1101"/>
      <c r="M134" s="1101"/>
    </row>
    <row r="135" spans="8:8">
      <c r="B135" s="1101"/>
      <c r="C135" s="1101"/>
      <c r="D135" s="1101"/>
      <c r="E135" s="1101"/>
      <c r="F135" s="1101"/>
      <c r="G135" s="1101"/>
      <c r="H135" s="1101"/>
      <c r="I135" s="1101"/>
      <c r="J135" s="1101"/>
      <c r="K135" s="1101"/>
      <c r="L135" s="1101"/>
      <c r="M135" s="1101"/>
    </row>
    <row r="136" spans="8:8">
      <c r="B136" s="1101"/>
      <c r="C136" s="1101"/>
      <c r="D136" s="1101"/>
      <c r="E136" s="1101"/>
      <c r="F136" s="1101"/>
      <c r="G136" s="1101"/>
      <c r="H136" s="1101"/>
      <c r="I136" s="1101"/>
      <c r="J136" s="1101"/>
      <c r="K136" s="1101"/>
      <c r="L136" s="1101"/>
      <c r="M136" s="1101"/>
    </row>
    <row r="137" spans="8:8">
      <c r="B137" s="1101"/>
      <c r="C137" s="1101"/>
      <c r="D137" s="1101"/>
      <c r="E137" s="1101"/>
      <c r="F137" s="1101"/>
      <c r="G137" s="1101"/>
      <c r="H137" s="1101"/>
      <c r="I137" s="1101"/>
      <c r="J137" s="1101"/>
      <c r="K137" s="1101"/>
      <c r="L137" s="1101"/>
      <c r="M137" s="1101"/>
    </row>
    <row r="138" spans="8:8">
      <c r="B138" s="1101"/>
      <c r="C138" s="1101"/>
      <c r="D138" s="1101"/>
      <c r="E138" s="1101"/>
      <c r="F138" s="1101"/>
      <c r="G138" s="1101"/>
      <c r="H138" s="1101"/>
      <c r="I138" s="1101"/>
      <c r="J138" s="1101"/>
      <c r="K138" s="1101"/>
      <c r="L138" s="1101"/>
      <c r="M138" s="1101"/>
    </row>
    <row r="139" spans="8:8">
      <c r="B139" s="1101"/>
      <c r="C139" s="1101"/>
      <c r="D139" s="1101"/>
      <c r="E139" s="1101"/>
      <c r="F139" s="1101"/>
      <c r="G139" s="1101"/>
      <c r="H139" s="1101"/>
      <c r="I139" s="1101"/>
      <c r="J139" s="1101"/>
      <c r="K139" s="1101"/>
      <c r="L139" s="1101"/>
      <c r="M139" s="1101"/>
    </row>
    <row r="140" spans="8:8">
      <c r="B140" s="1101"/>
      <c r="C140" s="1101"/>
      <c r="D140" s="1101"/>
      <c r="E140" s="1101"/>
      <c r="F140" s="1101"/>
      <c r="G140" s="1101"/>
      <c r="H140" s="1101"/>
      <c r="I140" s="1101"/>
      <c r="J140" s="1101"/>
      <c r="K140" s="1101"/>
      <c r="L140" s="1101"/>
      <c r="M140" s="1101"/>
    </row>
    <row r="141" spans="8:8">
      <c r="B141" s="1101"/>
      <c r="C141" s="1101"/>
      <c r="D141" s="1101"/>
      <c r="E141" s="1101"/>
      <c r="F141" s="1101"/>
      <c r="G141" s="1101"/>
      <c r="H141" s="1101"/>
      <c r="I141" s="1101"/>
      <c r="J141" s="1101"/>
      <c r="K141" s="1101"/>
      <c r="L141" s="1101"/>
      <c r="M141" s="1101"/>
    </row>
    <row r="142" spans="8:8">
      <c r="B142" s="1101"/>
      <c r="C142" s="1101"/>
      <c r="D142" s="1101"/>
      <c r="E142" s="1101"/>
      <c r="F142" s="1101"/>
      <c r="G142" s="1101"/>
      <c r="H142" s="1101"/>
      <c r="I142" s="1101"/>
      <c r="J142" s="1101"/>
      <c r="K142" s="1101"/>
      <c r="L142" s="1101"/>
      <c r="M142" s="1101"/>
    </row>
    <row r="143" spans="8:8">
      <c r="B143" s="1101"/>
      <c r="C143" s="1101"/>
      <c r="D143" s="1101"/>
      <c r="E143" s="1101"/>
      <c r="F143" s="1101"/>
      <c r="G143" s="1101"/>
      <c r="H143" s="1101"/>
      <c r="I143" s="1101"/>
      <c r="J143" s="1101"/>
      <c r="K143" s="1101"/>
      <c r="L143" s="1101"/>
      <c r="M143" s="1101"/>
    </row>
    <row r="144" spans="8:8">
      <c r="B144" s="1101"/>
      <c r="C144" s="1101"/>
      <c r="D144" s="1101"/>
      <c r="E144" s="1101"/>
      <c r="F144" s="1101"/>
      <c r="G144" s="1101"/>
      <c r="H144" s="1101"/>
      <c r="I144" s="1101"/>
      <c r="J144" s="1101"/>
      <c r="K144" s="1101"/>
      <c r="L144" s="1101"/>
      <c r="M144" s="1101"/>
    </row>
    <row r="145" spans="8:8">
      <c r="B145" s="1101"/>
      <c r="C145" s="1101"/>
      <c r="D145" s="1101"/>
      <c r="E145" s="1101"/>
      <c r="F145" s="1101"/>
      <c r="G145" s="1101"/>
      <c r="H145" s="1101"/>
      <c r="I145" s="1101"/>
      <c r="J145" s="1101"/>
      <c r="K145" s="1101"/>
      <c r="L145" s="1101"/>
      <c r="M145" s="1101"/>
    </row>
    <row r="146" spans="8:8">
      <c r="B146" s="1101"/>
      <c r="C146" s="1101"/>
      <c r="D146" s="1101"/>
      <c r="E146" s="1101"/>
      <c r="F146" s="1101"/>
      <c r="G146" s="1101"/>
      <c r="H146" s="1101"/>
      <c r="I146" s="1101"/>
      <c r="J146" s="1101"/>
      <c r="K146" s="1101"/>
      <c r="L146" s="1101"/>
      <c r="M146" s="1101"/>
    </row>
    <row r="147" spans="8:8">
      <c r="B147" s="1101"/>
      <c r="C147" s="1101"/>
      <c r="D147" s="1101"/>
      <c r="E147" s="1101"/>
      <c r="F147" s="1101"/>
      <c r="G147" s="1101"/>
      <c r="H147" s="1101"/>
      <c r="I147" s="1101"/>
      <c r="J147" s="1101"/>
      <c r="K147" s="1101"/>
      <c r="L147" s="1101"/>
      <c r="M147" s="1101"/>
    </row>
    <row r="148" spans="8:8">
      <c r="B148" s="1101"/>
      <c r="C148" s="1101"/>
      <c r="D148" s="1101"/>
      <c r="E148" s="1101"/>
      <c r="F148" s="1101"/>
      <c r="G148" s="1101"/>
      <c r="H148" s="1101"/>
      <c r="I148" s="1101"/>
      <c r="J148" s="1101"/>
      <c r="K148" s="1101"/>
      <c r="L148" s="1101"/>
      <c r="M148" s="1101"/>
    </row>
    <row r="149" spans="8:8">
      <c r="B149" s="1101"/>
      <c r="C149" s="1101"/>
      <c r="D149" s="1101"/>
      <c r="E149" s="1101"/>
      <c r="F149" s="1101"/>
      <c r="G149" s="1101"/>
      <c r="H149" s="1101"/>
      <c r="I149" s="1101"/>
      <c r="J149" s="1101"/>
      <c r="K149" s="1101"/>
      <c r="L149" s="1101"/>
      <c r="M149" s="1101"/>
    </row>
    <row r="150" spans="8:8">
      <c r="B150" s="1101"/>
      <c r="C150" s="1101"/>
      <c r="D150" s="1101"/>
      <c r="E150" s="1101"/>
      <c r="F150" s="1101"/>
      <c r="G150" s="1101"/>
      <c r="H150" s="1101"/>
      <c r="I150" s="1101"/>
      <c r="J150" s="1101"/>
      <c r="K150" s="1101"/>
      <c r="L150" s="1101"/>
      <c r="M150" s="1101"/>
    </row>
    <row r="151" spans="8:8">
      <c r="B151" s="1101"/>
      <c r="C151" s="1101"/>
      <c r="D151" s="1101"/>
      <c r="E151" s="1101"/>
      <c r="F151" s="1101"/>
      <c r="G151" s="1101"/>
      <c r="H151" s="1101"/>
      <c r="I151" s="1101"/>
      <c r="J151" s="1101"/>
      <c r="K151" s="1101"/>
      <c r="L151" s="1101"/>
      <c r="M151" s="1101"/>
    </row>
    <row r="152" spans="8:8">
      <c r="B152" s="1101"/>
      <c r="C152" s="1101"/>
      <c r="D152" s="1101"/>
      <c r="E152" s="1101"/>
      <c r="F152" s="1101"/>
      <c r="G152" s="1101"/>
      <c r="H152" s="1101"/>
      <c r="I152" s="1101"/>
      <c r="J152" s="1101"/>
      <c r="K152" s="1101"/>
      <c r="L152" s="1101"/>
      <c r="M152" s="1101"/>
    </row>
    <row r="153" spans="8:8">
      <c r="B153" s="1101"/>
      <c r="C153" s="1101"/>
      <c r="D153" s="1101"/>
      <c r="E153" s="1101"/>
      <c r="F153" s="1101"/>
      <c r="G153" s="1101"/>
      <c r="H153" s="1101"/>
      <c r="I153" s="1101"/>
      <c r="J153" s="1101"/>
      <c r="K153" s="1101"/>
      <c r="L153" s="1101"/>
      <c r="M153" s="1101"/>
    </row>
    <row r="154" spans="8:8">
      <c r="B154" s="1101"/>
      <c r="C154" s="1101"/>
      <c r="D154" s="1101"/>
      <c r="E154" s="1101"/>
      <c r="F154" s="1101"/>
      <c r="G154" s="1101"/>
      <c r="H154" s="1101"/>
      <c r="I154" s="1101"/>
      <c r="J154" s="1101"/>
      <c r="K154" s="1101"/>
      <c r="L154" s="1101"/>
      <c r="M154" s="1101"/>
    </row>
    <row r="155" spans="8:8">
      <c r="B155" s="1101"/>
      <c r="C155" s="1101"/>
      <c r="D155" s="1101"/>
      <c r="E155" s="1101"/>
      <c r="F155" s="1101"/>
      <c r="G155" s="1101"/>
      <c r="H155" s="1101"/>
      <c r="I155" s="1101"/>
      <c r="J155" s="1101"/>
      <c r="K155" s="1101"/>
      <c r="L155" s="1101"/>
      <c r="M155" s="1101"/>
    </row>
    <row r="156" spans="8:8">
      <c r="B156" s="1101"/>
      <c r="C156" s="1101"/>
      <c r="D156" s="1101"/>
      <c r="E156" s="1101"/>
      <c r="F156" s="1101"/>
      <c r="G156" s="1101"/>
      <c r="H156" s="1101"/>
      <c r="I156" s="1101"/>
      <c r="J156" s="1101"/>
      <c r="K156" s="1101"/>
      <c r="L156" s="1101"/>
      <c r="M156" s="1101"/>
    </row>
    <row r="157" spans="8:8">
      <c r="B157" s="1101"/>
      <c r="C157" s="1101"/>
      <c r="D157" s="1101"/>
      <c r="E157" s="1101"/>
      <c r="F157" s="1101"/>
      <c r="G157" s="1101"/>
      <c r="H157" s="1101"/>
      <c r="I157" s="1101"/>
      <c r="J157" s="1101"/>
      <c r="K157" s="1101"/>
      <c r="L157" s="1101"/>
      <c r="M157" s="1101"/>
    </row>
    <row r="158" spans="8:8">
      <c r="B158" s="1101"/>
      <c r="C158" s="1101"/>
      <c r="D158" s="1101"/>
      <c r="E158" s="1101"/>
      <c r="F158" s="1101"/>
      <c r="G158" s="1101"/>
      <c r="H158" s="1101"/>
      <c r="I158" s="1101"/>
      <c r="J158" s="1101"/>
      <c r="K158" s="1101"/>
      <c r="L158" s="1101"/>
      <c r="M158" s="1101"/>
    </row>
    <row r="159" spans="8:8">
      <c r="B159" s="1101"/>
      <c r="C159" s="1101"/>
      <c r="D159" s="1101"/>
      <c r="E159" s="1101"/>
      <c r="F159" s="1101"/>
      <c r="G159" s="1101"/>
      <c r="H159" s="1101"/>
      <c r="I159" s="1101"/>
      <c r="J159" s="1101"/>
      <c r="K159" s="1101"/>
      <c r="L159" s="1101"/>
      <c r="M159" s="1101"/>
    </row>
    <row r="160" spans="8:8">
      <c r="B160" s="1101"/>
      <c r="C160" s="1101"/>
      <c r="D160" s="1101"/>
      <c r="E160" s="1101"/>
      <c r="F160" s="1101"/>
      <c r="G160" s="1101"/>
      <c r="H160" s="1101"/>
      <c r="I160" s="1101"/>
      <c r="J160" s="1101"/>
      <c r="K160" s="1101"/>
      <c r="L160" s="1101"/>
      <c r="M160" s="1101"/>
    </row>
    <row r="161" spans="8:8">
      <c r="B161" s="1101"/>
      <c r="C161" s="1101"/>
      <c r="D161" s="1101"/>
      <c r="E161" s="1101"/>
      <c r="F161" s="1101"/>
      <c r="G161" s="1101"/>
      <c r="H161" s="1101"/>
      <c r="I161" s="1101"/>
      <c r="J161" s="1101"/>
      <c r="K161" s="1101"/>
      <c r="L161" s="1101"/>
      <c r="M161" s="1101"/>
    </row>
    <row r="162" spans="8:8">
      <c r="B162" s="1101"/>
      <c r="C162" s="1101"/>
      <c r="D162" s="1101"/>
      <c r="E162" s="1101"/>
      <c r="F162" s="1101"/>
      <c r="G162" s="1101"/>
      <c r="H162" s="1101"/>
      <c r="I162" s="1101"/>
      <c r="J162" s="1101"/>
      <c r="K162" s="1101"/>
      <c r="L162" s="1101"/>
      <c r="M162" s="1101"/>
    </row>
    <row r="163" spans="8:8">
      <c r="B163" s="1101"/>
      <c r="C163" s="1101"/>
      <c r="D163" s="1101"/>
      <c r="E163" s="1101"/>
      <c r="F163" s="1101"/>
      <c r="G163" s="1101"/>
      <c r="H163" s="1101"/>
      <c r="I163" s="1101"/>
      <c r="J163" s="1101"/>
      <c r="K163" s="1101"/>
      <c r="L163" s="1101"/>
      <c r="M163" s="1101"/>
    </row>
    <row r="164" spans="8:8">
      <c r="B164" s="1101"/>
      <c r="C164" s="1101"/>
      <c r="D164" s="1101"/>
      <c r="E164" s="1101"/>
      <c r="F164" s="1101"/>
      <c r="G164" s="1101"/>
      <c r="H164" s="1101"/>
      <c r="I164" s="1101"/>
      <c r="J164" s="1101"/>
      <c r="K164" s="1101"/>
      <c r="L164" s="1101"/>
      <c r="M164" s="1101"/>
    </row>
    <row r="165" spans="8:8">
      <c r="B165" s="1101"/>
      <c r="C165" s="1101"/>
      <c r="D165" s="1101"/>
      <c r="E165" s="1101"/>
      <c r="F165" s="1101"/>
      <c r="G165" s="1101"/>
      <c r="H165" s="1101"/>
      <c r="I165" s="1101"/>
      <c r="J165" s="1101"/>
      <c r="K165" s="1101"/>
      <c r="L165" s="1101"/>
      <c r="M165" s="1101"/>
    </row>
    <row r="166" spans="8:8">
      <c r="B166" s="1101"/>
      <c r="C166" s="1101"/>
      <c r="D166" s="1101"/>
      <c r="E166" s="1101"/>
      <c r="F166" s="1101"/>
      <c r="G166" s="1101"/>
      <c r="H166" s="1101"/>
      <c r="I166" s="1101"/>
      <c r="J166" s="1101"/>
      <c r="K166" s="1101"/>
      <c r="L166" s="1101"/>
      <c r="M166" s="1101"/>
    </row>
    <row r="167" spans="8:8">
      <c r="B167" s="1101"/>
      <c r="C167" s="1101"/>
      <c r="D167" s="1101"/>
      <c r="E167" s="1101"/>
      <c r="F167" s="1101"/>
      <c r="G167" s="1101"/>
      <c r="H167" s="1101"/>
      <c r="I167" s="1101"/>
      <c r="J167" s="1101"/>
      <c r="K167" s="1101"/>
      <c r="L167" s="1101"/>
      <c r="M167" s="1101"/>
    </row>
    <row r="168" spans="8:8">
      <c r="B168" s="1101"/>
      <c r="C168" s="1101"/>
      <c r="D168" s="1101"/>
      <c r="E168" s="1101"/>
      <c r="F168" s="1101"/>
      <c r="G168" s="1101"/>
      <c r="H168" s="1101"/>
      <c r="I168" s="1101"/>
      <c r="J168" s="1101"/>
      <c r="K168" s="1101"/>
      <c r="L168" s="1101"/>
      <c r="M168" s="1101"/>
    </row>
    <row r="169" spans="8:8">
      <c r="B169" s="1101"/>
      <c r="C169" s="1101"/>
      <c r="D169" s="1101"/>
      <c r="E169" s="1101"/>
      <c r="F169" s="1101"/>
      <c r="G169" s="1101"/>
      <c r="H169" s="1101"/>
      <c r="I169" s="1101"/>
      <c r="J169" s="1101"/>
      <c r="K169" s="1101"/>
      <c r="L169" s="1101"/>
      <c r="M169" s="1101"/>
    </row>
    <row r="170" spans="8:8">
      <c r="B170" s="1101"/>
      <c r="C170" s="1101"/>
      <c r="D170" s="1101"/>
      <c r="E170" s="1101"/>
      <c r="F170" s="1101"/>
      <c r="G170" s="1101"/>
      <c r="H170" s="1101"/>
      <c r="I170" s="1101"/>
      <c r="J170" s="1101"/>
      <c r="K170" s="1101"/>
      <c r="L170" s="1101"/>
      <c r="M170" s="1101"/>
    </row>
    <row r="171" spans="8:8">
      <c r="B171" s="1101"/>
      <c r="C171" s="1101"/>
      <c r="D171" s="1101"/>
      <c r="E171" s="1101"/>
      <c r="F171" s="1101"/>
      <c r="G171" s="1101"/>
      <c r="H171" s="1101"/>
      <c r="I171" s="1101"/>
      <c r="J171" s="1101"/>
      <c r="K171" s="1101"/>
      <c r="L171" s="1101"/>
      <c r="M171" s="1101"/>
    </row>
    <row r="172" spans="8:8">
      <c r="B172" s="1101"/>
      <c r="C172" s="1101"/>
      <c r="D172" s="1101"/>
      <c r="E172" s="1101"/>
      <c r="F172" s="1101"/>
      <c r="G172" s="1101"/>
      <c r="H172" s="1101"/>
      <c r="I172" s="1101"/>
      <c r="J172" s="1101"/>
      <c r="K172" s="1101"/>
      <c r="L172" s="1101"/>
      <c r="M172" s="1101"/>
    </row>
    <row r="173" spans="8:8">
      <c r="B173" s="1101"/>
      <c r="C173" s="1101"/>
      <c r="D173" s="1101"/>
      <c r="E173" s="1101"/>
      <c r="F173" s="1101"/>
      <c r="G173" s="1101"/>
      <c r="H173" s="1101"/>
      <c r="I173" s="1101"/>
      <c r="J173" s="1101"/>
      <c r="K173" s="1101"/>
      <c r="L173" s="1101"/>
      <c r="M173" s="1101"/>
    </row>
    <row r="174" spans="8:8">
      <c r="B174" s="1101"/>
      <c r="C174" s="1101"/>
      <c r="D174" s="1101"/>
      <c r="E174" s="1101"/>
      <c r="F174" s="1101"/>
      <c r="G174" s="1101"/>
      <c r="H174" s="1101"/>
      <c r="I174" s="1101"/>
      <c r="J174" s="1101"/>
      <c r="K174" s="1101"/>
      <c r="L174" s="1101"/>
      <c r="M174" s="1101"/>
    </row>
    <row r="175" spans="8:8">
      <c r="B175" s="1101"/>
      <c r="C175" s="1101"/>
      <c r="D175" s="1101"/>
      <c r="E175" s="1101"/>
      <c r="F175" s="1101"/>
      <c r="G175" s="1101"/>
      <c r="H175" s="1101"/>
      <c r="I175" s="1101"/>
      <c r="J175" s="1101"/>
      <c r="K175" s="1101"/>
      <c r="L175" s="1101"/>
      <c r="M175" s="1101"/>
    </row>
    <row r="176" spans="8:8">
      <c r="B176" s="1101"/>
      <c r="C176" s="1101"/>
      <c r="D176" s="1101"/>
      <c r="E176" s="1101"/>
      <c r="F176" s="1101"/>
      <c r="G176" s="1101"/>
      <c r="H176" s="1101"/>
      <c r="I176" s="1101"/>
      <c r="J176" s="1101"/>
      <c r="K176" s="1101"/>
      <c r="L176" s="1101"/>
      <c r="M176" s="1101"/>
    </row>
    <row r="177" spans="8:8">
      <c r="B177" s="1101"/>
      <c r="C177" s="1101"/>
      <c r="D177" s="1101"/>
      <c r="E177" s="1101"/>
      <c r="F177" s="1101"/>
      <c r="G177" s="1101"/>
      <c r="H177" s="1101"/>
      <c r="I177" s="1101"/>
      <c r="J177" s="1101"/>
      <c r="K177" s="1101"/>
      <c r="L177" s="1101"/>
      <c r="M177" s="1101"/>
    </row>
    <row r="178" spans="8:8">
      <c r="B178" s="1101"/>
      <c r="C178" s="1101"/>
      <c r="D178" s="1101"/>
      <c r="E178" s="1101"/>
      <c r="F178" s="1101"/>
      <c r="G178" s="1101"/>
      <c r="H178" s="1101"/>
      <c r="I178" s="1101"/>
      <c r="J178" s="1101"/>
      <c r="K178" s="1101"/>
      <c r="L178" s="1101"/>
      <c r="M178" s="1101"/>
    </row>
    <row r="179" spans="8:8">
      <c r="B179" s="1101"/>
      <c r="C179" s="1101"/>
      <c r="D179" s="1101"/>
      <c r="E179" s="1101"/>
      <c r="F179" s="1101"/>
      <c r="G179" s="1101"/>
      <c r="H179" s="1101"/>
      <c r="I179" s="1101"/>
      <c r="J179" s="1101"/>
      <c r="K179" s="1101"/>
      <c r="L179" s="1101"/>
      <c r="M179" s="1101"/>
    </row>
    <row r="180" spans="8:8">
      <c r="B180" s="1101"/>
      <c r="C180" s="1101"/>
      <c r="D180" s="1101"/>
      <c r="E180" s="1101"/>
      <c r="F180" s="1101"/>
      <c r="G180" s="1101"/>
      <c r="H180" s="1101"/>
      <c r="I180" s="1101"/>
      <c r="J180" s="1101"/>
      <c r="K180" s="1101"/>
      <c r="L180" s="1101"/>
      <c r="M180" s="1101"/>
    </row>
    <row r="181" spans="8:8">
      <c r="B181" s="1101"/>
      <c r="C181" s="1101"/>
      <c r="D181" s="1101"/>
      <c r="E181" s="1101"/>
      <c r="F181" s="1101"/>
      <c r="G181" s="1101"/>
      <c r="H181" s="1101"/>
      <c r="I181" s="1101"/>
      <c r="J181" s="1101"/>
      <c r="K181" s="1101"/>
      <c r="L181" s="1101"/>
      <c r="M181" s="1101"/>
    </row>
    <row r="182" spans="8:8">
      <c r="B182" s="1101"/>
      <c r="C182" s="1101"/>
      <c r="D182" s="1101"/>
      <c r="E182" s="1101"/>
      <c r="F182" s="1101"/>
      <c r="G182" s="1101"/>
      <c r="H182" s="1101"/>
      <c r="I182" s="1101"/>
      <c r="J182" s="1101"/>
      <c r="K182" s="1101"/>
      <c r="L182" s="1101"/>
      <c r="M182" s="1101"/>
    </row>
    <row r="183" spans="8:8">
      <c r="B183" s="1101"/>
      <c r="C183" s="1101"/>
      <c r="D183" s="1101"/>
      <c r="E183" s="1101"/>
      <c r="F183" s="1101"/>
      <c r="G183" s="1101"/>
      <c r="H183" s="1101"/>
      <c r="I183" s="1101"/>
      <c r="J183" s="1101"/>
      <c r="K183" s="1101"/>
      <c r="L183" s="1101"/>
      <c r="M183" s="1101"/>
    </row>
    <row r="184" spans="8:8">
      <c r="B184" s="1101"/>
      <c r="C184" s="1101"/>
      <c r="D184" s="1101"/>
      <c r="E184" s="1101"/>
      <c r="F184" s="1101"/>
      <c r="G184" s="1101"/>
      <c r="H184" s="1101"/>
      <c r="I184" s="1101"/>
      <c r="J184" s="1101"/>
      <c r="K184" s="1101"/>
      <c r="L184" s="1101"/>
      <c r="M184" s="1101"/>
    </row>
    <row r="185" spans="8:8">
      <c r="B185" s="1101"/>
      <c r="C185" s="1101"/>
      <c r="D185" s="1101"/>
      <c r="E185" s="1101"/>
      <c r="F185" s="1101"/>
      <c r="G185" s="1101"/>
      <c r="H185" s="1101"/>
      <c r="I185" s="1101"/>
      <c r="J185" s="1101"/>
      <c r="K185" s="1101"/>
      <c r="L185" s="1101"/>
      <c r="M185" s="1101"/>
    </row>
    <row r="186" spans="8:8">
      <c r="B186" s="1101"/>
      <c r="C186" s="1101"/>
      <c r="D186" s="1101"/>
      <c r="E186" s="1101"/>
      <c r="F186" s="1101"/>
      <c r="G186" s="1101"/>
      <c r="H186" s="1101"/>
      <c r="I186" s="1101"/>
      <c r="J186" s="1101"/>
      <c r="K186" s="1101"/>
      <c r="L186" s="1101"/>
      <c r="M186" s="1101"/>
    </row>
    <row r="187" spans="8:8">
      <c r="B187" s="1101"/>
      <c r="C187" s="1101"/>
      <c r="D187" s="1101"/>
      <c r="E187" s="1101"/>
      <c r="F187" s="1101"/>
      <c r="G187" s="1101"/>
      <c r="H187" s="1101"/>
      <c r="I187" s="1101"/>
      <c r="J187" s="1101"/>
      <c r="K187" s="1101"/>
      <c r="L187" s="1101"/>
      <c r="M187" s="1101"/>
    </row>
    <row r="188" spans="8:8">
      <c r="B188" s="1101"/>
      <c r="C188" s="1101"/>
      <c r="D188" s="1101"/>
      <c r="E188" s="1101"/>
      <c r="F188" s="1101"/>
      <c r="G188" s="1101"/>
      <c r="H188" s="1101"/>
      <c r="I188" s="1101"/>
      <c r="J188" s="1101"/>
      <c r="K188" s="1101"/>
      <c r="L188" s="1101"/>
      <c r="M188" s="1101"/>
    </row>
    <row r="189" spans="8:8">
      <c r="B189" s="1101"/>
      <c r="C189" s="1101"/>
      <c r="D189" s="1101"/>
      <c r="E189" s="1101"/>
      <c r="F189" s="1101"/>
      <c r="G189" s="1101"/>
      <c r="H189" s="1101"/>
      <c r="I189" s="1101"/>
      <c r="J189" s="1101"/>
      <c r="K189" s="1101"/>
      <c r="L189" s="1101"/>
      <c r="M189" s="1101"/>
    </row>
    <row r="190" spans="8:8">
      <c r="B190" s="1101"/>
      <c r="C190" s="1101"/>
      <c r="D190" s="1101"/>
      <c r="E190" s="1101"/>
      <c r="F190" s="1101"/>
      <c r="G190" s="1101"/>
      <c r="H190" s="1101"/>
      <c r="I190" s="1101"/>
      <c r="J190" s="1101"/>
      <c r="K190" s="1101"/>
      <c r="L190" s="1101"/>
      <c r="M190" s="1101"/>
    </row>
    <row r="191" spans="8:8">
      <c r="B191" s="1101"/>
      <c r="C191" s="1101"/>
      <c r="D191" s="1101"/>
      <c r="E191" s="1101"/>
      <c r="F191" s="1101"/>
      <c r="G191" s="1101"/>
      <c r="H191" s="1101"/>
      <c r="I191" s="1101"/>
      <c r="J191" s="1101"/>
      <c r="K191" s="1101"/>
      <c r="L191" s="1101"/>
      <c r="M191" s="1101"/>
    </row>
    <row r="192" spans="8:8">
      <c r="B192" s="1101"/>
      <c r="C192" s="1101"/>
      <c r="D192" s="1101"/>
      <c r="E192" s="1101"/>
      <c r="F192" s="1101"/>
      <c r="G192" s="1101"/>
      <c r="H192" s="1101"/>
      <c r="I192" s="1101"/>
      <c r="J192" s="1101"/>
      <c r="K192" s="1101"/>
      <c r="L192" s="1101"/>
      <c r="M192" s="1101"/>
    </row>
    <row r="193" spans="8:8">
      <c r="B193" s="1101"/>
      <c r="C193" s="1101"/>
      <c r="D193" s="1101"/>
      <c r="E193" s="1101"/>
      <c r="F193" s="1101"/>
      <c r="G193" s="1101"/>
      <c r="H193" s="1101"/>
      <c r="I193" s="1101"/>
      <c r="J193" s="1101"/>
      <c r="K193" s="1101"/>
      <c r="L193" s="1101"/>
      <c r="M193" s="1101"/>
    </row>
    <row r="194" spans="8:8">
      <c r="B194" s="1101"/>
      <c r="C194" s="1101"/>
      <c r="D194" s="1101"/>
      <c r="E194" s="1101"/>
      <c r="F194" s="1101"/>
      <c r="G194" s="1101"/>
      <c r="H194" s="1101"/>
      <c r="I194" s="1101"/>
      <c r="J194" s="1101"/>
      <c r="K194" s="1101"/>
      <c r="L194" s="1101"/>
      <c r="M194" s="1101"/>
    </row>
    <row r="195" spans="8:8">
      <c r="B195" s="1101"/>
      <c r="C195" s="1101"/>
      <c r="D195" s="1101"/>
      <c r="E195" s="1101"/>
      <c r="F195" s="1101"/>
      <c r="G195" s="1101"/>
      <c r="H195" s="1101"/>
      <c r="I195" s="1101"/>
      <c r="J195" s="1101"/>
      <c r="K195" s="1101"/>
      <c r="L195" s="1101"/>
      <c r="M195" s="1101"/>
    </row>
    <row r="196" spans="8:8">
      <c r="B196" s="1101"/>
      <c r="C196" s="1101"/>
      <c r="D196" s="1101"/>
      <c r="E196" s="1101"/>
      <c r="F196" s="1101"/>
      <c r="G196" s="1101"/>
      <c r="H196" s="1101"/>
      <c r="I196" s="1101"/>
      <c r="J196" s="1101"/>
      <c r="K196" s="1101"/>
      <c r="L196" s="1101"/>
      <c r="M196" s="1101"/>
    </row>
    <row r="197" spans="8:8">
      <c r="B197" s="1101"/>
      <c r="C197" s="1101"/>
      <c r="D197" s="1101"/>
      <c r="E197" s="1101"/>
      <c r="F197" s="1101"/>
      <c r="G197" s="1101"/>
      <c r="H197" s="1101"/>
      <c r="I197" s="1101"/>
      <c r="J197" s="1101"/>
      <c r="K197" s="1101"/>
      <c r="L197" s="1101"/>
      <c r="M197" s="1101"/>
    </row>
    <row r="198" spans="8:8">
      <c r="B198" s="1101"/>
      <c r="C198" s="1101"/>
      <c r="D198" s="1101"/>
      <c r="E198" s="1101"/>
      <c r="F198" s="1101"/>
      <c r="G198" s="1101"/>
      <c r="H198" s="1101"/>
      <c r="I198" s="1101"/>
      <c r="J198" s="1101"/>
      <c r="K198" s="1101"/>
      <c r="L198" s="1101"/>
      <c r="M198" s="1101"/>
    </row>
    <row r="199" spans="8:8">
      <c r="B199" s="1101"/>
      <c r="C199" s="1101"/>
      <c r="D199" s="1101"/>
      <c r="E199" s="1101"/>
      <c r="F199" s="1101"/>
      <c r="G199" s="1101"/>
      <c r="H199" s="1101"/>
      <c r="I199" s="1101"/>
      <c r="J199" s="1101"/>
      <c r="K199" s="1101"/>
      <c r="L199" s="1101"/>
      <c r="M199" s="1101"/>
    </row>
    <row r="200" spans="8:8">
      <c r="B200" s="1101"/>
      <c r="C200" s="1101"/>
      <c r="D200" s="1101"/>
      <c r="E200" s="1101"/>
      <c r="F200" s="1101"/>
      <c r="G200" s="1101"/>
      <c r="H200" s="1101"/>
      <c r="I200" s="1101"/>
      <c r="J200" s="1101"/>
      <c r="K200" s="1101"/>
      <c r="L200" s="1101"/>
      <c r="M200" s="1101"/>
    </row>
    <row r="201" spans="8:8">
      <c r="B201" s="1101"/>
      <c r="C201" s="1101"/>
      <c r="D201" s="1101"/>
      <c r="E201" s="1101"/>
      <c r="F201" s="1101"/>
      <c r="G201" s="1101"/>
      <c r="H201" s="1101"/>
      <c r="I201" s="1101"/>
      <c r="J201" s="1101"/>
      <c r="K201" s="1101"/>
      <c r="L201" s="1101"/>
      <c r="M201" s="1101"/>
    </row>
    <row r="202" spans="8:8">
      <c r="B202" s="1101"/>
      <c r="C202" s="1101"/>
      <c r="D202" s="1101"/>
      <c r="E202" s="1101"/>
      <c r="F202" s="1101"/>
      <c r="G202" s="1101"/>
      <c r="H202" s="1101"/>
      <c r="I202" s="1101"/>
      <c r="J202" s="1101"/>
      <c r="K202" s="1101"/>
      <c r="L202" s="1101"/>
      <c r="M202" s="1101"/>
    </row>
    <row r="203" spans="8:8">
      <c r="B203" s="1101"/>
      <c r="C203" s="1101"/>
      <c r="D203" s="1101"/>
      <c r="E203" s="1101"/>
      <c r="F203" s="1101"/>
      <c r="G203" s="1101"/>
      <c r="H203" s="1101"/>
      <c r="I203" s="1101"/>
      <c r="J203" s="1101"/>
      <c r="K203" s="1101"/>
      <c r="L203" s="1101"/>
      <c r="M203" s="1101"/>
    </row>
    <row r="204" spans="8:8">
      <c r="B204" s="1101"/>
      <c r="C204" s="1101"/>
      <c r="D204" s="1101"/>
      <c r="E204" s="1101"/>
      <c r="F204" s="1101"/>
      <c r="G204" s="1101"/>
      <c r="H204" s="1101"/>
      <c r="I204" s="1101"/>
      <c r="J204" s="1101"/>
      <c r="K204" s="1101"/>
      <c r="L204" s="1101"/>
      <c r="M204" s="1101"/>
    </row>
    <row r="205" spans="8:8">
      <c r="B205" s="1101"/>
      <c r="C205" s="1101"/>
      <c r="D205" s="1101"/>
      <c r="E205" s="1101"/>
      <c r="F205" s="1101"/>
      <c r="G205" s="1101"/>
      <c r="H205" s="1101"/>
      <c r="I205" s="1101"/>
      <c r="J205" s="1101"/>
      <c r="K205" s="1101"/>
      <c r="L205" s="1101"/>
      <c r="M205" s="1101"/>
    </row>
    <row r="206" spans="8:8">
      <c r="B206" s="1101"/>
      <c r="C206" s="1101"/>
      <c r="D206" s="1101"/>
      <c r="E206" s="1101"/>
      <c r="F206" s="1101"/>
      <c r="G206" s="1101"/>
      <c r="H206" s="1101"/>
      <c r="I206" s="1101"/>
      <c r="J206" s="1101"/>
      <c r="K206" s="1101"/>
      <c r="L206" s="1101"/>
      <c r="M206" s="1101"/>
    </row>
    <row r="207" spans="8:8">
      <c r="B207" s="1101"/>
      <c r="C207" s="1101"/>
      <c r="D207" s="1101"/>
      <c r="E207" s="1101"/>
      <c r="F207" s="1101"/>
      <c r="G207" s="1101"/>
      <c r="H207" s="1101"/>
      <c r="I207" s="1101"/>
      <c r="J207" s="1101"/>
      <c r="K207" s="1101"/>
      <c r="L207" s="1101"/>
      <c r="M207" s="1101"/>
    </row>
    <row r="208" spans="8:8">
      <c r="B208" s="1101"/>
      <c r="C208" s="1101"/>
      <c r="D208" s="1101"/>
      <c r="E208" s="1101"/>
      <c r="F208" s="1101"/>
      <c r="G208" s="1101"/>
      <c r="H208" s="1101"/>
      <c r="I208" s="1101"/>
      <c r="J208" s="1101"/>
      <c r="K208" s="1101"/>
      <c r="L208" s="1101"/>
      <c r="M208" s="1101"/>
    </row>
    <row r="209" spans="8:8">
      <c r="B209" s="1101"/>
      <c r="C209" s="1101"/>
      <c r="D209" s="1101"/>
      <c r="E209" s="1101"/>
      <c r="F209" s="1101"/>
      <c r="G209" s="1101"/>
      <c r="H209" s="1101"/>
      <c r="I209" s="1101"/>
      <c r="J209" s="1101"/>
      <c r="K209" s="1101"/>
      <c r="L209" s="1101"/>
      <c r="M209" s="1101"/>
    </row>
    <row r="210" spans="8:8">
      <c r="B210" s="1101"/>
      <c r="C210" s="1101"/>
      <c r="D210" s="1101"/>
      <c r="E210" s="1101"/>
      <c r="F210" s="1101"/>
      <c r="G210" s="1101"/>
      <c r="H210" s="1101"/>
      <c r="I210" s="1101"/>
      <c r="J210" s="1101"/>
      <c r="K210" s="1101"/>
      <c r="L210" s="1101"/>
      <c r="M210" s="1101"/>
    </row>
    <row r="211" spans="8:8">
      <c r="B211" s="1101"/>
      <c r="C211" s="1101"/>
      <c r="D211" s="1101"/>
      <c r="E211" s="1101"/>
      <c r="F211" s="1101"/>
      <c r="G211" s="1101"/>
      <c r="H211" s="1101"/>
      <c r="I211" s="1101"/>
      <c r="J211" s="1101"/>
      <c r="K211" s="1101"/>
      <c r="L211" s="1101"/>
      <c r="M211" s="1101"/>
    </row>
    <row r="212" spans="8:8">
      <c r="B212" s="1101"/>
      <c r="C212" s="1101"/>
      <c r="D212" s="1101"/>
      <c r="E212" s="1101"/>
      <c r="F212" s="1101"/>
      <c r="G212" s="1101"/>
      <c r="H212" s="1101"/>
      <c r="I212" s="1101"/>
      <c r="J212" s="1101"/>
      <c r="K212" s="1101"/>
      <c r="L212" s="1101"/>
      <c r="M212" s="1101"/>
    </row>
    <row r="213" spans="8:8">
      <c r="B213" s="1101"/>
      <c r="C213" s="1101"/>
      <c r="D213" s="1101"/>
      <c r="E213" s="1101"/>
      <c r="F213" s="1101"/>
      <c r="G213" s="1101"/>
      <c r="H213" s="1101"/>
      <c r="I213" s="1101"/>
      <c r="J213" s="1101"/>
      <c r="K213" s="1101"/>
      <c r="L213" s="1101"/>
      <c r="M213" s="1101"/>
    </row>
    <row r="214" spans="8:8">
      <c r="B214" s="1101"/>
      <c r="C214" s="1101"/>
      <c r="D214" s="1101"/>
      <c r="E214" s="1101"/>
      <c r="F214" s="1101"/>
      <c r="G214" s="1101"/>
      <c r="H214" s="1101"/>
      <c r="I214" s="1101"/>
      <c r="J214" s="1101"/>
      <c r="K214" s="1101"/>
      <c r="L214" s="1101"/>
      <c r="M214" s="1101"/>
    </row>
    <row r="215" spans="8:8">
      <c r="B215" s="1101"/>
      <c r="C215" s="1101"/>
      <c r="D215" s="1101"/>
      <c r="E215" s="1101"/>
      <c r="F215" s="1101"/>
      <c r="G215" s="1101"/>
      <c r="H215" s="1101"/>
      <c r="I215" s="1101"/>
      <c r="J215" s="1101"/>
      <c r="K215" s="1101"/>
      <c r="L215" s="1101"/>
      <c r="M215" s="1101"/>
    </row>
    <row r="216" spans="8:8">
      <c r="B216" s="1101"/>
      <c r="C216" s="1101"/>
      <c r="D216" s="1101"/>
      <c r="E216" s="1101"/>
      <c r="F216" s="1101"/>
      <c r="G216" s="1101"/>
      <c r="H216" s="1101"/>
      <c r="I216" s="1101"/>
      <c r="J216" s="1101"/>
      <c r="K216" s="1101"/>
      <c r="L216" s="1101"/>
      <c r="M216" s="1101"/>
    </row>
    <row r="217" spans="8:8">
      <c r="B217" s="1101"/>
      <c r="C217" s="1101"/>
      <c r="D217" s="1101"/>
      <c r="E217" s="1101"/>
      <c r="F217" s="1101"/>
      <c r="G217" s="1101"/>
      <c r="H217" s="1101"/>
      <c r="I217" s="1101"/>
      <c r="J217" s="1101"/>
      <c r="K217" s="1101"/>
      <c r="L217" s="1101"/>
      <c r="M217" s="1101"/>
    </row>
    <row r="218" spans="8:8">
      <c r="B218" s="1101"/>
      <c r="C218" s="1101"/>
      <c r="D218" s="1101"/>
      <c r="E218" s="1101"/>
      <c r="F218" s="1101"/>
      <c r="G218" s="1101"/>
      <c r="H218" s="1101"/>
      <c r="I218" s="1101"/>
      <c r="J218" s="1101"/>
      <c r="K218" s="1101"/>
      <c r="L218" s="1101"/>
      <c r="M218" s="1101"/>
    </row>
    <row r="219" spans="8:8">
      <c r="B219" s="1101"/>
      <c r="C219" s="1101"/>
      <c r="D219" s="1101"/>
      <c r="E219" s="1101"/>
      <c r="F219" s="1101"/>
      <c r="G219" s="1101"/>
      <c r="H219" s="1101"/>
      <c r="I219" s="1101"/>
      <c r="J219" s="1101"/>
      <c r="K219" s="1101"/>
      <c r="L219" s="1101"/>
      <c r="M219" s="1101"/>
    </row>
    <row r="220" spans="8:8">
      <c r="B220" s="1101"/>
      <c r="C220" s="1101"/>
      <c r="D220" s="1101"/>
      <c r="E220" s="1101"/>
      <c r="F220" s="1101"/>
      <c r="G220" s="1101"/>
      <c r="H220" s="1101"/>
      <c r="I220" s="1101"/>
      <c r="J220" s="1101"/>
      <c r="K220" s="1101"/>
      <c r="L220" s="1101"/>
      <c r="M220" s="1101"/>
    </row>
    <row r="221" spans="8:8">
      <c r="B221" s="1101"/>
      <c r="C221" s="1101"/>
      <c r="D221" s="1101"/>
      <c r="E221" s="1101"/>
      <c r="F221" s="1101"/>
      <c r="G221" s="1101"/>
      <c r="H221" s="1101"/>
      <c r="I221" s="1101"/>
      <c r="J221" s="1101"/>
      <c r="K221" s="1101"/>
      <c r="L221" s="1101"/>
      <c r="M221" s="1101"/>
    </row>
    <row r="222" spans="8:8">
      <c r="B222" s="1101"/>
      <c r="C222" s="1101"/>
      <c r="D222" s="1101"/>
      <c r="E222" s="1101"/>
      <c r="F222" s="1101"/>
      <c r="G222" s="1101"/>
      <c r="H222" s="1101"/>
      <c r="I222" s="1101"/>
      <c r="J222" s="1101"/>
      <c r="K222" s="1101"/>
      <c r="L222" s="1101"/>
      <c r="M222" s="1101"/>
    </row>
    <row r="223" spans="8:8">
      <c r="B223" s="1101"/>
      <c r="C223" s="1101"/>
      <c r="D223" s="1101"/>
      <c r="E223" s="1101"/>
      <c r="F223" s="1101"/>
      <c r="G223" s="1101"/>
      <c r="H223" s="1101"/>
      <c r="I223" s="1101"/>
      <c r="J223" s="1101"/>
      <c r="K223" s="1101"/>
      <c r="L223" s="1101"/>
      <c r="M223" s="1101"/>
    </row>
    <row r="224" spans="8:8">
      <c r="B224" s="1101"/>
      <c r="C224" s="1101"/>
      <c r="D224" s="1101"/>
      <c r="E224" s="1101"/>
      <c r="F224" s="1101"/>
      <c r="G224" s="1101"/>
      <c r="H224" s="1101"/>
      <c r="I224" s="1101"/>
      <c r="J224" s="1101"/>
      <c r="K224" s="1101"/>
      <c r="L224" s="1101"/>
      <c r="M224" s="1101"/>
    </row>
    <row r="225" spans="8:8">
      <c r="B225" s="1101"/>
      <c r="C225" s="1101"/>
      <c r="D225" s="1101"/>
      <c r="E225" s="1101"/>
      <c r="F225" s="1101"/>
      <c r="G225" s="1101"/>
      <c r="H225" s="1101"/>
      <c r="I225" s="1101"/>
      <c r="J225" s="1101"/>
      <c r="K225" s="1101"/>
      <c r="L225" s="1101"/>
      <c r="M225" s="1101"/>
    </row>
    <row r="226" spans="8:8">
      <c r="B226" s="1101"/>
      <c r="C226" s="1101"/>
      <c r="D226" s="1101"/>
      <c r="E226" s="1101"/>
      <c r="F226" s="1101"/>
      <c r="G226" s="1101"/>
      <c r="H226" s="1101"/>
      <c r="I226" s="1101"/>
      <c r="J226" s="1101"/>
      <c r="K226" s="1101"/>
      <c r="L226" s="1101"/>
      <c r="M226" s="1101"/>
    </row>
    <row r="227" spans="8:8">
      <c r="B227" s="1101"/>
      <c r="C227" s="1101"/>
      <c r="D227" s="1101"/>
      <c r="E227" s="1101"/>
      <c r="F227" s="1101"/>
      <c r="G227" s="1101"/>
      <c r="H227" s="1101"/>
      <c r="I227" s="1101"/>
      <c r="J227" s="1101"/>
      <c r="K227" s="1101"/>
      <c r="L227" s="1101"/>
      <c r="M227" s="1101"/>
    </row>
    <row r="228" spans="8:8">
      <c r="B228" s="1101"/>
      <c r="C228" s="1101"/>
      <c r="D228" s="1101"/>
      <c r="E228" s="1101"/>
      <c r="F228" s="1101"/>
      <c r="G228" s="1101"/>
      <c r="H228" s="1101"/>
      <c r="I228" s="1101"/>
      <c r="J228" s="1101"/>
      <c r="K228" s="1101"/>
      <c r="L228" s="1101"/>
      <c r="M228" s="1101"/>
    </row>
    <row r="229" spans="8:8">
      <c r="B229" s="1101"/>
      <c r="C229" s="1101"/>
      <c r="D229" s="1101"/>
      <c r="E229" s="1101"/>
      <c r="F229" s="1101"/>
      <c r="G229" s="1101"/>
      <c r="H229" s="1101"/>
      <c r="I229" s="1101"/>
      <c r="J229" s="1101"/>
      <c r="K229" s="1101"/>
      <c r="L229" s="1101"/>
      <c r="M229" s="1101"/>
    </row>
    <row r="230" spans="8:8">
      <c r="B230" s="1101"/>
      <c r="C230" s="1101"/>
      <c r="D230" s="1101"/>
      <c r="E230" s="1101"/>
      <c r="F230" s="1101"/>
      <c r="G230" s="1101"/>
      <c r="H230" s="1101"/>
      <c r="I230" s="1101"/>
      <c r="J230" s="1101"/>
      <c r="K230" s="1101"/>
      <c r="L230" s="1101"/>
      <c r="M230" s="1101"/>
    </row>
    <row r="231" spans="8:8">
      <c r="B231" s="1101"/>
      <c r="C231" s="1101"/>
      <c r="D231" s="1101"/>
      <c r="E231" s="1101"/>
      <c r="F231" s="1101"/>
      <c r="G231" s="1101"/>
      <c r="H231" s="1101"/>
      <c r="I231" s="1101"/>
      <c r="J231" s="1101"/>
      <c r="K231" s="1101"/>
      <c r="L231" s="1101"/>
      <c r="M231" s="1101"/>
    </row>
    <row r="232" spans="8:8">
      <c r="B232" s="1101"/>
      <c r="C232" s="1101"/>
      <c r="D232" s="1101"/>
      <c r="E232" s="1101"/>
      <c r="F232" s="1101"/>
      <c r="G232" s="1101"/>
      <c r="H232" s="1101"/>
      <c r="I232" s="1101"/>
      <c r="J232" s="1101"/>
      <c r="K232" s="1101"/>
      <c r="L232" s="1101"/>
      <c r="M232" s="1101"/>
    </row>
    <row r="233" spans="8:8">
      <c r="B233" s="1101"/>
      <c r="C233" s="1101"/>
      <c r="D233" s="1101"/>
      <c r="E233" s="1101"/>
      <c r="F233" s="1101"/>
      <c r="G233" s="1101"/>
      <c r="H233" s="1101"/>
      <c r="I233" s="1101"/>
      <c r="J233" s="1101"/>
      <c r="K233" s="1101"/>
      <c r="L233" s="1101"/>
      <c r="M233" s="1101"/>
    </row>
    <row r="234" spans="8:8">
      <c r="B234" s="1101"/>
      <c r="C234" s="1101"/>
      <c r="D234" s="1101"/>
      <c r="E234" s="1101"/>
      <c r="F234" s="1101"/>
      <c r="G234" s="1101"/>
      <c r="H234" s="1101"/>
      <c r="I234" s="1101"/>
      <c r="J234" s="1101"/>
      <c r="K234" s="1101"/>
      <c r="L234" s="1101"/>
      <c r="M234" s="1101"/>
    </row>
    <row r="235" spans="8:8">
      <c r="B235" s="1101"/>
      <c r="C235" s="1101"/>
      <c r="D235" s="1101"/>
      <c r="E235" s="1101"/>
      <c r="F235" s="1101"/>
      <c r="G235" s="1101"/>
      <c r="H235" s="1101"/>
      <c r="I235" s="1101"/>
      <c r="J235" s="1101"/>
      <c r="K235" s="1101"/>
      <c r="L235" s="1101"/>
      <c r="M235" s="1101"/>
    </row>
    <row r="236" spans="8:8">
      <c r="B236" s="1101"/>
      <c r="C236" s="1101"/>
      <c r="D236" s="1101"/>
      <c r="E236" s="1101"/>
      <c r="F236" s="1101"/>
      <c r="G236" s="1101"/>
      <c r="H236" s="1101"/>
      <c r="I236" s="1101"/>
      <c r="J236" s="1101"/>
      <c r="K236" s="1101"/>
      <c r="L236" s="1101"/>
      <c r="M236" s="1101"/>
    </row>
    <row r="237" spans="8:8">
      <c r="B237" s="1101"/>
      <c r="C237" s="1101"/>
      <c r="D237" s="1101"/>
      <c r="E237" s="1101"/>
      <c r="F237" s="1101"/>
      <c r="G237" s="1101"/>
      <c r="H237" s="1101"/>
      <c r="I237" s="1101"/>
      <c r="J237" s="1101"/>
      <c r="K237" s="1101"/>
      <c r="L237" s="1101"/>
      <c r="M237" s="1101"/>
    </row>
    <row r="238" spans="8:8">
      <c r="B238" s="1101"/>
      <c r="C238" s="1101"/>
      <c r="D238" s="1101"/>
      <c r="E238" s="1101"/>
      <c r="F238" s="1101"/>
      <c r="G238" s="1101"/>
      <c r="H238" s="1101"/>
      <c r="I238" s="1101"/>
      <c r="J238" s="1101"/>
      <c r="K238" s="1101"/>
      <c r="L238" s="1101"/>
      <c r="M238" s="1101"/>
    </row>
    <row r="239" spans="8:8">
      <c r="B239" s="1101"/>
      <c r="C239" s="1101"/>
      <c r="D239" s="1101"/>
      <c r="E239" s="1101"/>
      <c r="F239" s="1101"/>
      <c r="G239" s="1101"/>
      <c r="H239" s="1101"/>
      <c r="I239" s="1101"/>
      <c r="J239" s="1101"/>
      <c r="K239" s="1101"/>
      <c r="L239" s="1101"/>
      <c r="M239" s="1101"/>
    </row>
    <row r="240" spans="8:8">
      <c r="B240" s="1101"/>
      <c r="C240" s="1101"/>
      <c r="D240" s="1101"/>
      <c r="E240" s="1101"/>
      <c r="F240" s="1101"/>
      <c r="G240" s="1101"/>
      <c r="H240" s="1101"/>
      <c r="I240" s="1101"/>
      <c r="J240" s="1101"/>
      <c r="K240" s="1101"/>
      <c r="L240" s="1101"/>
      <c r="M240" s="1101"/>
    </row>
    <row r="241" spans="8:8">
      <c r="B241" s="1101"/>
      <c r="C241" s="1101"/>
      <c r="D241" s="1101"/>
      <c r="E241" s="1101"/>
      <c r="F241" s="1101"/>
      <c r="G241" s="1101"/>
      <c r="H241" s="1101"/>
      <c r="I241" s="1101"/>
      <c r="J241" s="1101"/>
      <c r="K241" s="1101"/>
      <c r="L241" s="1101"/>
      <c r="M241" s="1101"/>
    </row>
    <row r="242" spans="8:8">
      <c r="B242" s="1101"/>
      <c r="C242" s="1101"/>
      <c r="D242" s="1101"/>
      <c r="E242" s="1101"/>
      <c r="F242" s="1101"/>
      <c r="G242" s="1101"/>
      <c r="H242" s="1101"/>
      <c r="I242" s="1101"/>
      <c r="J242" s="1101"/>
      <c r="K242" s="1101"/>
      <c r="L242" s="1101"/>
      <c r="M242" s="1101"/>
    </row>
    <row r="243" spans="8:8">
      <c r="B243" s="1101"/>
      <c r="C243" s="1101"/>
      <c r="D243" s="1101"/>
      <c r="E243" s="1101"/>
      <c r="F243" s="1101"/>
      <c r="G243" s="1101"/>
      <c r="H243" s="1101"/>
      <c r="I243" s="1101"/>
      <c r="J243" s="1101"/>
      <c r="K243" s="1101"/>
      <c r="L243" s="1101"/>
      <c r="M243" s="1101"/>
    </row>
    <row r="244" spans="8:8">
      <c r="B244" s="1101"/>
      <c r="C244" s="1101"/>
      <c r="D244" s="1101"/>
      <c r="E244" s="1101"/>
      <c r="F244" s="1101"/>
      <c r="G244" s="1101"/>
      <c r="H244" s="1101"/>
      <c r="I244" s="1101"/>
      <c r="J244" s="1101"/>
      <c r="K244" s="1101"/>
      <c r="L244" s="1101"/>
      <c r="M244" s="1101"/>
    </row>
    <row r="245" spans="8:8">
      <c r="B245" s="1101"/>
      <c r="C245" s="1101"/>
      <c r="D245" s="1101"/>
      <c r="E245" s="1101"/>
      <c r="F245" s="1101"/>
      <c r="G245" s="1101"/>
      <c r="H245" s="1101"/>
      <c r="I245" s="1101"/>
      <c r="J245" s="1101"/>
      <c r="K245" s="1101"/>
      <c r="L245" s="1101"/>
      <c r="M245" s="1101"/>
    </row>
    <row r="246" spans="8:8">
      <c r="B246" s="1101"/>
      <c r="C246" s="1101"/>
      <c r="D246" s="1101"/>
      <c r="E246" s="1101"/>
      <c r="F246" s="1101"/>
      <c r="G246" s="1101"/>
      <c r="H246" s="1101"/>
      <c r="I246" s="1101"/>
      <c r="J246" s="1101"/>
      <c r="K246" s="1101"/>
      <c r="L246" s="1101"/>
      <c r="M246" s="1101"/>
    </row>
    <row r="247" spans="8:8">
      <c r="B247" s="1101"/>
      <c r="C247" s="1101"/>
      <c r="D247" s="1101"/>
      <c r="E247" s="1101"/>
      <c r="F247" s="1101"/>
      <c r="G247" s="1101"/>
      <c r="H247" s="1101"/>
      <c r="I247" s="1101"/>
      <c r="J247" s="1101"/>
      <c r="K247" s="1101"/>
      <c r="L247" s="1101"/>
      <c r="M247" s="1101"/>
    </row>
    <row r="248" spans="8:8">
      <c r="B248" s="1101"/>
      <c r="C248" s="1101"/>
      <c r="D248" s="1101"/>
      <c r="E248" s="1101"/>
      <c r="F248" s="1101"/>
      <c r="G248" s="1101"/>
      <c r="H248" s="1101"/>
      <c r="I248" s="1101"/>
      <c r="J248" s="1101"/>
      <c r="K248" s="1101"/>
      <c r="L248" s="1101"/>
      <c r="M248" s="1101"/>
    </row>
    <row r="249" spans="8:8">
      <c r="B249" s="1101"/>
      <c r="C249" s="1101"/>
      <c r="D249" s="1101"/>
      <c r="E249" s="1101"/>
      <c r="F249" s="1101"/>
      <c r="G249" s="1101"/>
      <c r="H249" s="1101"/>
      <c r="I249" s="1101"/>
      <c r="J249" s="1101"/>
      <c r="K249" s="1101"/>
      <c r="L249" s="1101"/>
      <c r="M249" s="1101"/>
    </row>
    <row r="250" spans="8:8">
      <c r="B250" s="1101"/>
      <c r="C250" s="1101"/>
      <c r="D250" s="1101"/>
      <c r="E250" s="1101"/>
      <c r="F250" s="1101"/>
      <c r="G250" s="1101"/>
      <c r="H250" s="1101"/>
      <c r="I250" s="1101"/>
      <c r="J250" s="1101"/>
      <c r="K250" s="1101"/>
      <c r="L250" s="1101"/>
      <c r="M250" s="1101"/>
    </row>
    <row r="251" spans="8:8">
      <c r="B251" s="1101"/>
      <c r="C251" s="1101"/>
      <c r="D251" s="1101"/>
      <c r="E251" s="1101"/>
      <c r="F251" s="1101"/>
      <c r="G251" s="1101"/>
      <c r="H251" s="1101"/>
      <c r="I251" s="1101"/>
      <c r="J251" s="1101"/>
      <c r="K251" s="1101"/>
      <c r="L251" s="1101"/>
      <c r="M251" s="1101"/>
    </row>
    <row r="252" spans="8:8">
      <c r="B252" s="1101"/>
      <c r="C252" s="1101"/>
      <c r="D252" s="1101"/>
      <c r="E252" s="1101"/>
      <c r="F252" s="1101"/>
      <c r="G252" s="1101"/>
      <c r="H252" s="1101"/>
      <c r="I252" s="1101"/>
      <c r="J252" s="1101"/>
      <c r="K252" s="1101"/>
      <c r="L252" s="1101"/>
      <c r="M252" s="1101"/>
    </row>
    <row r="253" spans="8:8">
      <c r="B253" s="1101"/>
      <c r="C253" s="1101"/>
      <c r="D253" s="1101"/>
      <c r="E253" s="1101"/>
      <c r="F253" s="1101"/>
      <c r="G253" s="1101"/>
      <c r="H253" s="1101"/>
      <c r="I253" s="1101"/>
      <c r="J253" s="1101"/>
      <c r="K253" s="1101"/>
      <c r="L253" s="1101"/>
      <c r="M253" s="1101"/>
    </row>
    <row r="254" spans="8:8">
      <c r="B254" s="1101"/>
      <c r="C254" s="1101"/>
      <c r="D254" s="1101"/>
      <c r="E254" s="1101"/>
      <c r="F254" s="1101"/>
      <c r="G254" s="1101"/>
      <c r="H254" s="1101"/>
      <c r="I254" s="1101"/>
      <c r="J254" s="1101"/>
      <c r="K254" s="1101"/>
      <c r="L254" s="1101"/>
      <c r="M254" s="1101"/>
    </row>
    <row r="255" spans="8:8">
      <c r="B255" s="1101"/>
      <c r="C255" s="1101"/>
      <c r="D255" s="1101"/>
      <c r="E255" s="1101"/>
      <c r="F255" s="1101"/>
      <c r="G255" s="1101"/>
      <c r="H255" s="1101"/>
      <c r="I255" s="1101"/>
      <c r="J255" s="1101"/>
      <c r="K255" s="1101"/>
      <c r="L255" s="1101"/>
      <c r="M255" s="1101"/>
    </row>
    <row r="256" spans="8:8">
      <c r="B256" s="1101"/>
      <c r="C256" s="1101"/>
      <c r="D256" s="1101"/>
      <c r="E256" s="1101"/>
      <c r="F256" s="1101"/>
      <c r="G256" s="1101"/>
      <c r="H256" s="1101"/>
      <c r="I256" s="1101"/>
      <c r="J256" s="1101"/>
      <c r="K256" s="1101"/>
      <c r="L256" s="1101"/>
      <c r="M256" s="1101"/>
    </row>
    <row r="257" spans="8:8">
      <c r="B257" s="1101"/>
      <c r="C257" s="1101"/>
      <c r="D257" s="1101"/>
      <c r="E257" s="1101"/>
      <c r="F257" s="1101"/>
      <c r="G257" s="1101"/>
      <c r="H257" s="1101"/>
      <c r="I257" s="1101"/>
      <c r="J257" s="1101"/>
      <c r="K257" s="1101"/>
      <c r="L257" s="1101"/>
      <c r="M257" s="1101"/>
    </row>
    <row r="258" spans="8:8">
      <c r="B258" s="1101"/>
      <c r="C258" s="1101"/>
      <c r="D258" s="1101"/>
      <c r="E258" s="1101"/>
      <c r="F258" s="1101"/>
      <c r="G258" s="1101"/>
      <c r="H258" s="1101"/>
      <c r="I258" s="1101"/>
      <c r="J258" s="1101"/>
      <c r="K258" s="1101"/>
      <c r="L258" s="1101"/>
      <c r="M258" s="1101"/>
    </row>
    <row r="259" spans="8:8">
      <c r="B259" s="1101"/>
      <c r="C259" s="1101"/>
      <c r="D259" s="1101"/>
      <c r="E259" s="1101"/>
      <c r="F259" s="1101"/>
      <c r="G259" s="1101"/>
      <c r="H259" s="1101"/>
      <c r="I259" s="1101"/>
      <c r="J259" s="1101"/>
      <c r="K259" s="1101"/>
      <c r="L259" s="1101"/>
      <c r="M259" s="1101"/>
    </row>
    <row r="260" spans="8:8">
      <c r="B260" s="1101"/>
      <c r="C260" s="1101"/>
      <c r="D260" s="1101"/>
      <c r="E260" s="1101"/>
      <c r="F260" s="1101"/>
      <c r="G260" s="1101"/>
      <c r="H260" s="1101"/>
      <c r="I260" s="1101"/>
      <c r="J260" s="1101"/>
      <c r="K260" s="1101"/>
      <c r="L260" s="1101"/>
      <c r="M260" s="1101"/>
    </row>
    <row r="261" spans="8:8">
      <c r="B261" s="1101"/>
      <c r="C261" s="1101"/>
      <c r="D261" s="1101"/>
      <c r="E261" s="1101"/>
      <c r="F261" s="1101"/>
      <c r="G261" s="1101"/>
      <c r="H261" s="1101"/>
      <c r="I261" s="1101"/>
      <c r="J261" s="1101"/>
      <c r="K261" s="1101"/>
      <c r="L261" s="1101"/>
      <c r="M261" s="1101"/>
    </row>
    <row r="262" spans="8:8">
      <c r="B262" s="1101"/>
      <c r="C262" s="1101"/>
      <c r="D262" s="1101"/>
      <c r="E262" s="1101"/>
      <c r="F262" s="1101"/>
      <c r="G262" s="1101"/>
      <c r="H262" s="1101"/>
      <c r="I262" s="1101"/>
      <c r="J262" s="1101"/>
      <c r="K262" s="1101"/>
      <c r="L262" s="1101"/>
      <c r="M262" s="1101"/>
    </row>
    <row r="263" spans="8:8">
      <c r="B263" s="1101"/>
      <c r="C263" s="1101"/>
      <c r="D263" s="1101"/>
      <c r="E263" s="1101"/>
      <c r="F263" s="1101"/>
      <c r="G263" s="1101"/>
      <c r="H263" s="1101"/>
      <c r="I263" s="1101"/>
      <c r="J263" s="1101"/>
      <c r="K263" s="1101"/>
      <c r="L263" s="1101"/>
      <c r="M263" s="1101"/>
    </row>
    <row r="264" spans="8:8">
      <c r="B264" s="1101"/>
      <c r="C264" s="1101"/>
      <c r="D264" s="1101"/>
      <c r="E264" s="1101"/>
      <c r="F264" s="1101"/>
      <c r="G264" s="1101"/>
      <c r="H264" s="1101"/>
      <c r="I264" s="1101"/>
      <c r="J264" s="1101"/>
      <c r="K264" s="1101"/>
      <c r="L264" s="1101"/>
      <c r="M264" s="1101"/>
    </row>
    <row r="265" spans="8:8">
      <c r="B265" s="1101"/>
      <c r="C265" s="1101"/>
      <c r="D265" s="1101"/>
      <c r="E265" s="1101"/>
      <c r="F265" s="1101"/>
      <c r="G265" s="1101"/>
      <c r="H265" s="1101"/>
      <c r="I265" s="1101"/>
      <c r="J265" s="1101"/>
      <c r="K265" s="1101"/>
      <c r="L265" s="1101"/>
      <c r="M265" s="1101"/>
    </row>
    <row r="266" spans="8:8">
      <c r="B266" s="1101"/>
      <c r="C266" s="1101"/>
      <c r="D266" s="1101"/>
      <c r="E266" s="1101"/>
      <c r="F266" s="1101"/>
      <c r="G266" s="1101"/>
      <c r="H266" s="1101"/>
      <c r="I266" s="1101"/>
      <c r="J266" s="1101"/>
      <c r="K266" s="1101"/>
      <c r="L266" s="1101"/>
      <c r="M266" s="1101"/>
    </row>
    <row r="267" spans="8:8">
      <c r="B267" s="1101"/>
      <c r="C267" s="1101"/>
      <c r="D267" s="1101"/>
      <c r="E267" s="1101"/>
      <c r="F267" s="1101"/>
      <c r="G267" s="1101"/>
      <c r="H267" s="1101"/>
      <c r="I267" s="1101"/>
      <c r="J267" s="1101"/>
      <c r="K267" s="1101"/>
      <c r="L267" s="1101"/>
      <c r="M267" s="1101"/>
    </row>
    <row r="268" spans="8:8">
      <c r="B268" s="1101"/>
      <c r="C268" s="1101"/>
      <c r="D268" s="1101"/>
      <c r="E268" s="1101"/>
      <c r="F268" s="1101"/>
      <c r="G268" s="1101"/>
      <c r="H268" s="1101"/>
      <c r="I268" s="1101"/>
      <c r="J268" s="1101"/>
      <c r="K268" s="1101"/>
      <c r="L268" s="1101"/>
      <c r="M268" s="1101"/>
    </row>
    <row r="269" spans="8:8">
      <c r="B269" s="1101"/>
      <c r="C269" s="1101"/>
      <c r="D269" s="1101"/>
      <c r="E269" s="1101"/>
      <c r="F269" s="1101"/>
      <c r="G269" s="1101"/>
      <c r="H269" s="1101"/>
      <c r="I269" s="1101"/>
      <c r="J269" s="1101"/>
      <c r="K269" s="1101"/>
      <c r="L269" s="1101"/>
      <c r="M269" s="1101"/>
    </row>
    <row r="270" spans="8:8">
      <c r="B270" s="1101"/>
      <c r="C270" s="1101"/>
      <c r="D270" s="1101"/>
      <c r="E270" s="1101"/>
      <c r="F270" s="1101"/>
      <c r="G270" s="1101"/>
      <c r="H270" s="1101"/>
      <c r="I270" s="1101"/>
      <c r="J270" s="1101"/>
      <c r="K270" s="1101"/>
      <c r="L270" s="1101"/>
      <c r="M270" s="1101"/>
    </row>
    <row r="271" spans="8:8">
      <c r="B271" s="1101"/>
      <c r="C271" s="1101"/>
      <c r="D271" s="1101"/>
      <c r="E271" s="1101"/>
      <c r="F271" s="1101"/>
      <c r="G271" s="1101"/>
      <c r="H271" s="1101"/>
      <c r="I271" s="1101"/>
      <c r="J271" s="1101"/>
      <c r="K271" s="1101"/>
      <c r="L271" s="1101"/>
      <c r="M271" s="1101"/>
    </row>
    <row r="272" spans="8:8">
      <c r="B272" s="1101"/>
      <c r="C272" s="1101"/>
      <c r="D272" s="1101"/>
      <c r="E272" s="1101"/>
      <c r="F272" s="1101"/>
      <c r="G272" s="1101"/>
      <c r="H272" s="1101"/>
      <c r="I272" s="1101"/>
      <c r="J272" s="1101"/>
      <c r="K272" s="1101"/>
      <c r="L272" s="1101"/>
      <c r="M272" s="1101"/>
    </row>
    <row r="273" spans="8:8">
      <c r="B273" s="1101"/>
      <c r="C273" s="1101"/>
      <c r="D273" s="1101"/>
      <c r="E273" s="1101"/>
      <c r="F273" s="1101"/>
      <c r="G273" s="1101"/>
      <c r="H273" s="1101"/>
      <c r="I273" s="1101"/>
      <c r="J273" s="1101"/>
      <c r="K273" s="1101"/>
      <c r="L273" s="1101"/>
      <c r="M273" s="1101"/>
    </row>
    <row r="274" spans="8:8">
      <c r="B274" s="1101"/>
      <c r="C274" s="1101"/>
      <c r="D274" s="1101"/>
      <c r="E274" s="1101"/>
      <c r="F274" s="1101"/>
      <c r="G274" s="1101"/>
      <c r="H274" s="1101"/>
      <c r="I274" s="1101"/>
      <c r="J274" s="1101"/>
      <c r="K274" s="1101"/>
      <c r="L274" s="1101"/>
      <c r="M274" s="1101"/>
    </row>
    <row r="275" spans="8:8">
      <c r="B275" s="1101"/>
      <c r="C275" s="1101"/>
      <c r="D275" s="1101"/>
      <c r="E275" s="1101"/>
      <c r="F275" s="1101"/>
      <c r="G275" s="1101"/>
      <c r="H275" s="1101"/>
      <c r="I275" s="1101"/>
      <c r="J275" s="1101"/>
      <c r="K275" s="1101"/>
      <c r="L275" s="1101"/>
      <c r="M275" s="1101"/>
    </row>
    <row r="276" spans="8:8">
      <c r="B276" s="1101"/>
      <c r="C276" s="1101"/>
      <c r="D276" s="1101"/>
      <c r="E276" s="1101"/>
      <c r="F276" s="1101"/>
      <c r="G276" s="1101"/>
      <c r="H276" s="1101"/>
      <c r="I276" s="1101"/>
      <c r="J276" s="1101"/>
      <c r="K276" s="1101"/>
      <c r="L276" s="1101"/>
      <c r="M276" s="1101"/>
    </row>
    <row r="277" spans="8:8">
      <c r="B277" s="1101"/>
      <c r="C277" s="1101"/>
      <c r="D277" s="1101"/>
      <c r="E277" s="1101"/>
      <c r="F277" s="1101"/>
      <c r="G277" s="1101"/>
      <c r="H277" s="1101"/>
      <c r="I277" s="1101"/>
      <c r="J277" s="1101"/>
      <c r="K277" s="1101"/>
      <c r="L277" s="1101"/>
      <c r="M277" s="1101"/>
    </row>
    <row r="278" spans="8:8">
      <c r="B278" s="1101"/>
      <c r="C278" s="1101"/>
      <c r="D278" s="1101"/>
      <c r="E278" s="1101"/>
      <c r="F278" s="1101"/>
      <c r="G278" s="1101"/>
      <c r="H278" s="1101"/>
      <c r="I278" s="1101"/>
      <c r="J278" s="1101"/>
      <c r="K278" s="1101"/>
      <c r="L278" s="1101"/>
      <c r="M278" s="1101"/>
    </row>
    <row r="279" spans="8:8">
      <c r="B279" s="1101"/>
      <c r="C279" s="1101"/>
      <c r="D279" s="1101"/>
      <c r="E279" s="1101"/>
      <c r="F279" s="1101"/>
      <c r="G279" s="1101"/>
      <c r="H279" s="1101"/>
      <c r="I279" s="1101"/>
      <c r="J279" s="1101"/>
      <c r="K279" s="1101"/>
      <c r="L279" s="1101"/>
      <c r="M279" s="1101"/>
    </row>
    <row r="280" spans="8:8">
      <c r="B280" s="1101"/>
      <c r="C280" s="1101"/>
      <c r="D280" s="1101"/>
      <c r="E280" s="1101"/>
      <c r="F280" s="1101"/>
      <c r="G280" s="1101"/>
      <c r="H280" s="1101"/>
      <c r="I280" s="1101"/>
      <c r="J280" s="1101"/>
      <c r="K280" s="1101"/>
      <c r="L280" s="1101"/>
      <c r="M280" s="1101"/>
    </row>
    <row r="281" spans="8:8">
      <c r="B281" s="1101"/>
      <c r="C281" s="1101"/>
      <c r="D281" s="1101"/>
      <c r="E281" s="1101"/>
      <c r="F281" s="1101"/>
      <c r="G281" s="1101"/>
      <c r="H281" s="1101"/>
      <c r="I281" s="1101"/>
      <c r="J281" s="1101"/>
      <c r="K281" s="1101"/>
      <c r="L281" s="1101"/>
      <c r="M281" s="1101"/>
    </row>
    <row r="282" spans="8:8">
      <c r="B282" s="1101"/>
      <c r="C282" s="1101"/>
      <c r="D282" s="1101"/>
      <c r="E282" s="1101"/>
      <c r="F282" s="1101"/>
      <c r="G282" s="1101"/>
      <c r="H282" s="1101"/>
      <c r="I282" s="1101"/>
      <c r="J282" s="1101"/>
      <c r="K282" s="1101"/>
      <c r="L282" s="1101"/>
      <c r="M282" s="1101"/>
    </row>
    <row r="283" spans="8:8">
      <c r="B283" s="1101"/>
      <c r="C283" s="1101"/>
      <c r="D283" s="1101"/>
      <c r="E283" s="1101"/>
      <c r="F283" s="1101"/>
      <c r="G283" s="1101"/>
      <c r="H283" s="1101"/>
      <c r="I283" s="1101"/>
      <c r="J283" s="1101"/>
      <c r="K283" s="1101"/>
      <c r="L283" s="1101"/>
      <c r="M283" s="1101"/>
    </row>
    <row r="284" spans="8:8">
      <c r="B284" s="1101"/>
      <c r="C284" s="1101"/>
      <c r="D284" s="1101"/>
      <c r="E284" s="1101"/>
      <c r="F284" s="1101"/>
      <c r="G284" s="1101"/>
      <c r="H284" s="1101"/>
      <c r="I284" s="1101"/>
      <c r="J284" s="1101"/>
      <c r="K284" s="1101"/>
      <c r="L284" s="1101"/>
      <c r="M284" s="1101"/>
    </row>
    <row r="285" spans="8:8">
      <c r="B285" s="1101"/>
      <c r="C285" s="1101"/>
      <c r="D285" s="1101"/>
      <c r="E285" s="1101"/>
      <c r="F285" s="1101"/>
      <c r="G285" s="1101"/>
      <c r="H285" s="1101"/>
      <c r="I285" s="1101"/>
      <c r="J285" s="1101"/>
      <c r="K285" s="1101"/>
      <c r="L285" s="1101"/>
      <c r="M285" s="1101"/>
    </row>
    <row r="286" spans="8:8">
      <c r="B286" s="1101"/>
      <c r="C286" s="1101"/>
      <c r="D286" s="1101"/>
      <c r="E286" s="1101"/>
      <c r="F286" s="1101"/>
      <c r="G286" s="1101"/>
      <c r="H286" s="1101"/>
      <c r="I286" s="1101"/>
      <c r="J286" s="1101"/>
      <c r="K286" s="1101"/>
      <c r="L286" s="1101"/>
      <c r="M286" s="1101"/>
    </row>
    <row r="287" spans="8:8">
      <c r="B287" s="1101"/>
      <c r="C287" s="1101"/>
      <c r="D287" s="1101"/>
      <c r="E287" s="1101"/>
      <c r="F287" s="1101"/>
      <c r="G287" s="1101"/>
      <c r="H287" s="1101"/>
      <c r="I287" s="1101"/>
      <c r="J287" s="1101"/>
      <c r="K287" s="1101"/>
      <c r="L287" s="1101"/>
      <c r="M287" s="1101"/>
    </row>
    <row r="288" spans="8:8">
      <c r="B288" s="1101"/>
      <c r="C288" s="1101"/>
      <c r="D288" s="1101"/>
      <c r="E288" s="1101"/>
      <c r="F288" s="1101"/>
      <c r="G288" s="1101"/>
      <c r="H288" s="1101"/>
      <c r="I288" s="1101"/>
      <c r="J288" s="1101"/>
      <c r="K288" s="1101"/>
      <c r="L288" s="1101"/>
      <c r="M288" s="1101"/>
    </row>
    <row r="289" spans="8:8">
      <c r="B289" s="1101"/>
      <c r="C289" s="1101"/>
      <c r="D289" s="1101"/>
      <c r="E289" s="1101"/>
      <c r="F289" s="1101"/>
      <c r="G289" s="1101"/>
      <c r="H289" s="1101"/>
      <c r="I289" s="1101"/>
      <c r="J289" s="1101"/>
      <c r="K289" s="1101"/>
      <c r="L289" s="1101"/>
      <c r="M289" s="1101"/>
    </row>
    <row r="290" spans="8:8">
      <c r="B290" s="1101"/>
      <c r="C290" s="1101"/>
      <c r="D290" s="1101"/>
      <c r="E290" s="1101"/>
      <c r="F290" s="1101"/>
      <c r="G290" s="1101"/>
      <c r="H290" s="1101"/>
      <c r="I290" s="1101"/>
      <c r="J290" s="1101"/>
      <c r="K290" s="1101"/>
      <c r="L290" s="1101"/>
      <c r="M290" s="1101"/>
    </row>
    <row r="291" spans="8:8">
      <c r="B291" s="1101"/>
      <c r="C291" s="1101"/>
      <c r="D291" s="1101"/>
      <c r="E291" s="1101"/>
      <c r="F291" s="1101"/>
      <c r="G291" s="1101"/>
      <c r="H291" s="1101"/>
      <c r="I291" s="1101"/>
      <c r="J291" s="1101"/>
      <c r="K291" s="1101"/>
      <c r="L291" s="1101"/>
      <c r="M291" s="1101"/>
    </row>
    <row r="292" spans="8:8">
      <c r="B292" s="1101"/>
      <c r="C292" s="1101"/>
      <c r="D292" s="1101"/>
      <c r="E292" s="1101"/>
      <c r="F292" s="1101"/>
      <c r="G292" s="1101"/>
      <c r="H292" s="1101"/>
      <c r="I292" s="1101"/>
      <c r="J292" s="1101"/>
      <c r="K292" s="1101"/>
      <c r="L292" s="1101"/>
      <c r="M292" s="1101"/>
    </row>
    <row r="293" spans="8:8">
      <c r="B293" s="1101"/>
      <c r="C293" s="1101"/>
      <c r="D293" s="1101"/>
      <c r="E293" s="1101"/>
      <c r="F293" s="1101"/>
      <c r="G293" s="1101"/>
      <c r="H293" s="1101"/>
      <c r="I293" s="1101"/>
      <c r="J293" s="1101"/>
      <c r="K293" s="1101"/>
      <c r="L293" s="1101"/>
      <c r="M293" s="1101"/>
    </row>
    <row r="294" spans="8:8">
      <c r="B294" s="1101"/>
      <c r="C294" s="1101"/>
      <c r="D294" s="1101"/>
      <c r="E294" s="1101"/>
      <c r="F294" s="1101"/>
      <c r="G294" s="1101"/>
      <c r="H294" s="1101"/>
      <c r="I294" s="1101"/>
      <c r="J294" s="1101"/>
      <c r="K294" s="1101"/>
      <c r="L294" s="1101"/>
      <c r="M294" s="1101"/>
    </row>
    <row r="295" spans="8:8">
      <c r="B295" s="1101"/>
      <c r="C295" s="1101"/>
      <c r="D295" s="1101"/>
      <c r="E295" s="1101"/>
      <c r="F295" s="1101"/>
      <c r="G295" s="1101"/>
      <c r="H295" s="1101"/>
      <c r="I295" s="1101"/>
      <c r="J295" s="1101"/>
      <c r="K295" s="1101"/>
      <c r="L295" s="1101"/>
      <c r="M295" s="1101"/>
    </row>
    <row r="296" spans="8:8">
      <c r="B296" s="1101"/>
      <c r="C296" s="1101"/>
      <c r="D296" s="1101"/>
      <c r="E296" s="1101"/>
      <c r="F296" s="1101"/>
      <c r="G296" s="1101"/>
      <c r="H296" s="1101"/>
      <c r="I296" s="1101"/>
      <c r="J296" s="1101"/>
      <c r="K296" s="1101"/>
      <c r="L296" s="1101"/>
      <c r="M296" s="1101"/>
    </row>
    <row r="297" spans="8:8">
      <c r="B297" s="1101"/>
      <c r="C297" s="1101"/>
      <c r="D297" s="1101"/>
      <c r="E297" s="1101"/>
      <c r="F297" s="1101"/>
      <c r="G297" s="1101"/>
      <c r="H297" s="1101"/>
      <c r="I297" s="1101"/>
      <c r="J297" s="1101"/>
      <c r="K297" s="1101"/>
      <c r="L297" s="1101"/>
      <c r="M297" s="1101"/>
    </row>
    <row r="298" spans="8:8">
      <c r="B298" s="1101"/>
      <c r="C298" s="1101"/>
      <c r="D298" s="1101"/>
      <c r="E298" s="1101"/>
      <c r="F298" s="1101"/>
      <c r="G298" s="1101"/>
      <c r="H298" s="1101"/>
      <c r="I298" s="1101"/>
      <c r="J298" s="1101"/>
      <c r="K298" s="1101"/>
      <c r="L298" s="1101"/>
      <c r="M298" s="1101"/>
    </row>
    <row r="299" spans="8:8">
      <c r="B299" s="1101"/>
      <c r="C299" s="1101"/>
      <c r="D299" s="1101"/>
      <c r="E299" s="1101"/>
      <c r="F299" s="1101"/>
      <c r="G299" s="1101"/>
      <c r="H299" s="1101"/>
      <c r="I299" s="1101"/>
      <c r="J299" s="1101"/>
      <c r="K299" s="1101"/>
      <c r="L299" s="1101"/>
      <c r="M299" s="1101"/>
    </row>
    <row r="300" spans="8:8">
      <c r="B300" s="1101"/>
      <c r="C300" s="1101"/>
      <c r="D300" s="1101"/>
      <c r="E300" s="1101"/>
      <c r="F300" s="1101"/>
      <c r="G300" s="1101"/>
      <c r="H300" s="1101"/>
      <c r="I300" s="1101"/>
      <c r="J300" s="1101"/>
      <c r="K300" s="1101"/>
      <c r="L300" s="1101"/>
      <c r="M300" s="1101"/>
    </row>
    <row r="301" spans="8:8">
      <c r="B301" s="1101"/>
      <c r="C301" s="1101"/>
      <c r="D301" s="1101"/>
      <c r="E301" s="1101"/>
      <c r="F301" s="1101"/>
      <c r="G301" s="1101"/>
      <c r="H301" s="1101"/>
      <c r="I301" s="1101"/>
      <c r="J301" s="1101"/>
      <c r="K301" s="1101"/>
      <c r="L301" s="1101"/>
      <c r="M301" s="1101"/>
    </row>
    <row r="302" spans="8:8">
      <c r="B302" s="1101"/>
      <c r="C302" s="1101"/>
      <c r="D302" s="1101"/>
      <c r="E302" s="1101"/>
      <c r="F302" s="1101"/>
      <c r="G302" s="1101"/>
      <c r="H302" s="1101"/>
      <c r="I302" s="1101"/>
      <c r="J302" s="1101"/>
      <c r="K302" s="1101"/>
      <c r="L302" s="1101"/>
      <c r="M302" s="1101"/>
    </row>
    <row r="303" spans="8:8">
      <c r="B303" s="1101"/>
      <c r="C303" s="1101"/>
      <c r="D303" s="1101"/>
      <c r="E303" s="1101"/>
      <c r="F303" s="1101"/>
      <c r="G303" s="1101"/>
      <c r="H303" s="1101"/>
      <c r="I303" s="1101"/>
      <c r="J303" s="1101"/>
      <c r="K303" s="1101"/>
      <c r="L303" s="1101"/>
      <c r="M303" s="1101"/>
    </row>
    <row r="304" spans="8:8">
      <c r="B304" s="1101"/>
      <c r="C304" s="1101"/>
      <c r="D304" s="1101"/>
      <c r="E304" s="1101"/>
      <c r="F304" s="1101"/>
      <c r="G304" s="1101"/>
      <c r="H304" s="1101"/>
      <c r="I304" s="1101"/>
      <c r="J304" s="1101"/>
      <c r="K304" s="1101"/>
      <c r="L304" s="1101"/>
      <c r="M304" s="1101"/>
    </row>
    <row r="305" spans="8:8">
      <c r="B305" s="1101"/>
      <c r="C305" s="1101"/>
      <c r="D305" s="1101"/>
      <c r="E305" s="1101"/>
      <c r="F305" s="1101"/>
      <c r="G305" s="1101"/>
      <c r="H305" s="1101"/>
      <c r="I305" s="1101"/>
      <c r="J305" s="1101"/>
      <c r="K305" s="1101"/>
      <c r="L305" s="1101"/>
      <c r="M305" s="1101"/>
    </row>
    <row r="306" spans="8:8">
      <c r="B306" s="1101"/>
      <c r="C306" s="1101"/>
      <c r="D306" s="1101"/>
      <c r="E306" s="1101"/>
      <c r="F306" s="1101"/>
      <c r="G306" s="1101"/>
      <c r="H306" s="1101"/>
      <c r="I306" s="1101"/>
      <c r="J306" s="1101"/>
      <c r="K306" s="1101"/>
      <c r="L306" s="1101"/>
      <c r="M306" s="1101"/>
    </row>
    <row r="307" spans="8:8">
      <c r="B307" s="1101"/>
      <c r="C307" s="1101"/>
      <c r="D307" s="1101"/>
      <c r="E307" s="1101"/>
      <c r="F307" s="1101"/>
      <c r="G307" s="1101"/>
      <c r="H307" s="1101"/>
      <c r="I307" s="1101"/>
      <c r="J307" s="1101"/>
      <c r="K307" s="1101"/>
      <c r="L307" s="1101"/>
      <c r="M307" s="1101"/>
    </row>
    <row r="308" spans="8:8">
      <c r="B308" s="1101"/>
      <c r="C308" s="1101"/>
      <c r="D308" s="1101"/>
      <c r="E308" s="1101"/>
      <c r="F308" s="1101"/>
      <c r="G308" s="1101"/>
      <c r="H308" s="1101"/>
      <c r="I308" s="1101"/>
      <c r="J308" s="1101"/>
      <c r="K308" s="1101"/>
      <c r="L308" s="1101"/>
      <c r="M308" s="1101"/>
    </row>
    <row r="309" spans="8:8">
      <c r="B309" s="1101"/>
      <c r="C309" s="1101"/>
      <c r="D309" s="1101"/>
      <c r="E309" s="1101"/>
      <c r="F309" s="1101"/>
      <c r="G309" s="1101"/>
      <c r="H309" s="1101"/>
      <c r="I309" s="1101"/>
      <c r="J309" s="1101"/>
      <c r="K309" s="1101"/>
      <c r="L309" s="1101"/>
      <c r="M309" s="1101"/>
    </row>
    <row r="310" spans="8:8">
      <c r="B310" s="1101"/>
      <c r="C310" s="1101"/>
      <c r="D310" s="1101"/>
      <c r="E310" s="1101"/>
      <c r="F310" s="1101"/>
      <c r="G310" s="1101"/>
      <c r="H310" s="1101"/>
      <c r="I310" s="1101"/>
      <c r="J310" s="1101"/>
      <c r="K310" s="1101"/>
      <c r="L310" s="1101"/>
      <c r="M310" s="1101"/>
    </row>
    <row r="311" spans="8:8">
      <c r="B311" s="1101"/>
      <c r="C311" s="1101"/>
      <c r="D311" s="1101"/>
      <c r="E311" s="1101"/>
      <c r="F311" s="1101"/>
      <c r="G311" s="1101"/>
      <c r="H311" s="1101"/>
      <c r="I311" s="1101"/>
      <c r="J311" s="1101"/>
      <c r="K311" s="1101"/>
      <c r="L311" s="1101"/>
      <c r="M311" s="1101"/>
    </row>
    <row r="312" spans="8:8">
      <c r="B312" s="1101"/>
      <c r="C312" s="1101"/>
      <c r="D312" s="1101"/>
      <c r="E312" s="1101"/>
      <c r="F312" s="1101"/>
      <c r="G312" s="1101"/>
      <c r="H312" s="1101"/>
      <c r="I312" s="1101"/>
      <c r="J312" s="1101"/>
      <c r="K312" s="1101"/>
      <c r="L312" s="1101"/>
      <c r="M312" s="1101"/>
    </row>
    <row r="313" spans="8:8">
      <c r="B313" s="1101"/>
      <c r="C313" s="1101"/>
      <c r="D313" s="1101"/>
      <c r="E313" s="1101"/>
      <c r="F313" s="1101"/>
      <c r="G313" s="1101"/>
      <c r="H313" s="1101"/>
      <c r="I313" s="1101"/>
      <c r="J313" s="1101"/>
      <c r="K313" s="1101"/>
      <c r="L313" s="1101"/>
      <c r="M313" s="1101"/>
    </row>
    <row r="314" spans="8:8">
      <c r="B314" s="1101"/>
      <c r="C314" s="1101"/>
      <c r="D314" s="1101"/>
      <c r="E314" s="1101"/>
      <c r="F314" s="1101"/>
      <c r="G314" s="1101"/>
      <c r="H314" s="1101"/>
      <c r="I314" s="1101"/>
      <c r="J314" s="1101"/>
      <c r="K314" s="1101"/>
      <c r="L314" s="1101"/>
      <c r="M314" s="1101"/>
    </row>
    <row r="315" spans="8:8">
      <c r="B315" s="1101"/>
      <c r="C315" s="1101"/>
      <c r="D315" s="1101"/>
      <c r="E315" s="1101"/>
      <c r="F315" s="1101"/>
      <c r="G315" s="1101"/>
      <c r="H315" s="1101"/>
      <c r="I315" s="1101"/>
      <c r="J315" s="1101"/>
      <c r="K315" s="1101"/>
      <c r="L315" s="1101"/>
      <c r="M315" s="1101"/>
    </row>
    <row r="316" spans="8:8">
      <c r="B316" s="1101"/>
      <c r="C316" s="1101"/>
      <c r="D316" s="1101"/>
      <c r="E316" s="1101"/>
      <c r="F316" s="1101"/>
      <c r="G316" s="1101"/>
      <c r="H316" s="1101"/>
      <c r="I316" s="1101"/>
      <c r="J316" s="1101"/>
      <c r="K316" s="1101"/>
      <c r="L316" s="1101"/>
      <c r="M316" s="1101"/>
    </row>
    <row r="317" spans="8:8">
      <c r="B317" s="1101"/>
      <c r="C317" s="1101"/>
      <c r="D317" s="1101"/>
      <c r="E317" s="1101"/>
      <c r="F317" s="1101"/>
      <c r="G317" s="1101"/>
      <c r="H317" s="1101"/>
      <c r="I317" s="1101"/>
      <c r="J317" s="1101"/>
      <c r="K317" s="1101"/>
      <c r="L317" s="1101"/>
      <c r="M317" s="1101"/>
    </row>
    <row r="318" spans="8:8">
      <c r="B318" s="1101"/>
      <c r="C318" s="1101"/>
      <c r="D318" s="1101"/>
      <c r="E318" s="1101"/>
      <c r="F318" s="1101"/>
      <c r="G318" s="1101"/>
      <c r="H318" s="1101"/>
      <c r="I318" s="1101"/>
      <c r="J318" s="1101"/>
      <c r="K318" s="1101"/>
      <c r="L318" s="1101"/>
      <c r="M318" s="1101"/>
    </row>
    <row r="319" spans="8:8">
      <c r="B319" s="1101"/>
      <c r="C319" s="1101"/>
      <c r="D319" s="1101"/>
      <c r="E319" s="1101"/>
      <c r="F319" s="1101"/>
      <c r="G319" s="1101"/>
      <c r="H319" s="1101"/>
      <c r="I319" s="1101"/>
      <c r="J319" s="1101"/>
      <c r="K319" s="1101"/>
      <c r="L319" s="1101"/>
      <c r="M319" s="1101"/>
    </row>
    <row r="320" spans="8:8">
      <c r="B320" s="1101"/>
      <c r="C320" s="1101"/>
      <c r="D320" s="1101"/>
      <c r="E320" s="1101"/>
      <c r="F320" s="1101"/>
      <c r="G320" s="1101"/>
      <c r="H320" s="1101"/>
      <c r="I320" s="1101"/>
      <c r="J320" s="1101"/>
      <c r="K320" s="1101"/>
      <c r="L320" s="1101"/>
      <c r="M320" s="1101"/>
    </row>
    <row r="321" spans="8:8">
      <c r="B321" s="1101"/>
      <c r="C321" s="1101"/>
      <c r="D321" s="1101"/>
      <c r="E321" s="1101"/>
      <c r="F321" s="1101"/>
      <c r="G321" s="1101"/>
      <c r="H321" s="1101"/>
      <c r="I321" s="1101"/>
      <c r="J321" s="1101"/>
      <c r="K321" s="1101"/>
      <c r="L321" s="1101"/>
      <c r="M321" s="1101"/>
    </row>
    <row r="322" spans="8:8">
      <c r="B322" s="1101"/>
      <c r="C322" s="1101"/>
      <c r="D322" s="1101"/>
      <c r="E322" s="1101"/>
      <c r="F322" s="1101"/>
      <c r="G322" s="1101"/>
      <c r="H322" s="1101"/>
      <c r="I322" s="1101"/>
      <c r="J322" s="1101"/>
      <c r="K322" s="1101"/>
      <c r="L322" s="1101"/>
      <c r="M322" s="1101"/>
    </row>
    <row r="323" spans="8:8">
      <c r="B323" s="1101"/>
      <c r="C323" s="1101"/>
      <c r="D323" s="1101"/>
      <c r="E323" s="1101"/>
      <c r="F323" s="1101"/>
      <c r="G323" s="1101"/>
      <c r="H323" s="1101"/>
      <c r="I323" s="1101"/>
      <c r="J323" s="1101"/>
      <c r="K323" s="1101"/>
      <c r="L323" s="1101"/>
      <c r="M323" s="1101"/>
    </row>
    <row r="324" spans="8:8">
      <c r="B324" s="1101"/>
      <c r="C324" s="1101"/>
      <c r="D324" s="1101"/>
      <c r="E324" s="1101"/>
      <c r="F324" s="1101"/>
      <c r="G324" s="1101"/>
      <c r="H324" s="1101"/>
      <c r="I324" s="1101"/>
      <c r="J324" s="1101"/>
      <c r="K324" s="1101"/>
      <c r="L324" s="1101"/>
      <c r="M324" s="1101"/>
    </row>
    <row r="325" spans="8:8">
      <c r="B325" s="1101"/>
      <c r="C325" s="1101"/>
      <c r="D325" s="1101"/>
      <c r="E325" s="1101"/>
      <c r="F325" s="1101"/>
      <c r="G325" s="1101"/>
      <c r="H325" s="1101"/>
      <c r="I325" s="1101"/>
      <c r="J325" s="1101"/>
      <c r="K325" s="1101"/>
      <c r="L325" s="1101"/>
      <c r="M325" s="1101"/>
    </row>
    <row r="326" spans="8:8">
      <c r="B326" s="1101"/>
      <c r="C326" s="1101"/>
      <c r="D326" s="1101"/>
      <c r="E326" s="1101"/>
      <c r="F326" s="1101"/>
      <c r="G326" s="1101"/>
      <c r="H326" s="1101"/>
      <c r="I326" s="1101"/>
      <c r="J326" s="1101"/>
      <c r="K326" s="1101"/>
      <c r="L326" s="1101"/>
      <c r="M326" s="1101"/>
    </row>
    <row r="327" spans="8:8">
      <c r="B327" s="1101"/>
      <c r="C327" s="1101"/>
      <c r="D327" s="1101"/>
      <c r="E327" s="1101"/>
      <c r="F327" s="1101"/>
      <c r="G327" s="1101"/>
      <c r="H327" s="1101"/>
      <c r="I327" s="1101"/>
      <c r="J327" s="1101"/>
      <c r="K327" s="1101"/>
      <c r="L327" s="1101"/>
      <c r="M327" s="1101"/>
    </row>
    <row r="328" spans="8:8">
      <c r="B328" s="1101"/>
      <c r="C328" s="1101"/>
      <c r="D328" s="1101"/>
      <c r="E328" s="1101"/>
      <c r="F328" s="1101"/>
      <c r="G328" s="1101"/>
      <c r="H328" s="1101"/>
      <c r="I328" s="1101"/>
      <c r="J328" s="1101"/>
      <c r="K328" s="1101"/>
      <c r="L328" s="1101"/>
      <c r="M328" s="1101"/>
    </row>
    <row r="329" spans="8:8">
      <c r="B329" s="1101"/>
      <c r="C329" s="1101"/>
      <c r="D329" s="1101"/>
      <c r="E329" s="1101"/>
      <c r="F329" s="1101"/>
      <c r="G329" s="1101"/>
      <c r="H329" s="1101"/>
      <c r="I329" s="1101"/>
      <c r="J329" s="1101"/>
      <c r="K329" s="1101"/>
      <c r="L329" s="1101"/>
      <c r="M329" s="1101"/>
    </row>
    <row r="330" spans="8:8">
      <c r="B330" s="1101"/>
      <c r="C330" s="1101"/>
      <c r="D330" s="1101"/>
      <c r="E330" s="1101"/>
      <c r="F330" s="1101"/>
      <c r="G330" s="1101"/>
      <c r="H330" s="1101"/>
      <c r="I330" s="1101"/>
      <c r="J330" s="1101"/>
      <c r="K330" s="1101"/>
      <c r="L330" s="1101"/>
      <c r="M330" s="1101"/>
    </row>
    <row r="331" spans="8:8">
      <c r="B331" s="1101"/>
      <c r="C331" s="1101"/>
      <c r="D331" s="1101"/>
      <c r="E331" s="1101"/>
      <c r="F331" s="1101"/>
      <c r="G331" s="1101"/>
      <c r="H331" s="1101"/>
      <c r="I331" s="1101"/>
      <c r="J331" s="1101"/>
      <c r="K331" s="1101"/>
      <c r="L331" s="1101"/>
      <c r="M331" s="1101"/>
    </row>
    <row r="332" spans="8:8">
      <c r="B332" s="1101"/>
      <c r="C332" s="1101"/>
      <c r="D332" s="1101"/>
      <c r="E332" s="1101"/>
      <c r="F332" s="1101"/>
      <c r="G332" s="1101"/>
      <c r="H332" s="1101"/>
      <c r="I332" s="1101"/>
      <c r="J332" s="1101"/>
      <c r="K332" s="1101"/>
      <c r="L332" s="1101"/>
      <c r="M332" s="1101"/>
    </row>
    <row r="333" spans="8:8">
      <c r="B333" s="1101"/>
      <c r="C333" s="1101"/>
      <c r="D333" s="1101"/>
      <c r="E333" s="1101"/>
      <c r="F333" s="1101"/>
      <c r="G333" s="1101"/>
      <c r="H333" s="1101"/>
      <c r="I333" s="1101"/>
      <c r="J333" s="1101"/>
      <c r="K333" s="1101"/>
      <c r="L333" s="1101"/>
      <c r="M333" s="1101"/>
    </row>
    <row r="334" spans="8:8">
      <c r="B334" s="1101"/>
      <c r="C334" s="1101"/>
      <c r="D334" s="1101"/>
      <c r="E334" s="1101"/>
      <c r="F334" s="1101"/>
      <c r="G334" s="1101"/>
      <c r="H334" s="1101"/>
      <c r="I334" s="1101"/>
      <c r="J334" s="1101"/>
      <c r="K334" s="1101"/>
      <c r="L334" s="1101"/>
      <c r="M334" s="1101"/>
    </row>
    <row r="335" spans="8:8">
      <c r="B335" s="1101"/>
      <c r="C335" s="1101"/>
      <c r="D335" s="1101"/>
      <c r="E335" s="1101"/>
      <c r="F335" s="1101"/>
      <c r="G335" s="1101"/>
      <c r="H335" s="1101"/>
      <c r="I335" s="1101"/>
      <c r="J335" s="1101"/>
      <c r="K335" s="1101"/>
      <c r="L335" s="1101"/>
      <c r="M335" s="1101"/>
    </row>
    <row r="336" spans="8:8">
      <c r="B336" s="1101"/>
      <c r="C336" s="1101"/>
      <c r="D336" s="1101"/>
      <c r="E336" s="1101"/>
      <c r="F336" s="1101"/>
      <c r="G336" s="1101"/>
      <c r="H336" s="1101"/>
      <c r="I336" s="1101"/>
      <c r="J336" s="1101"/>
      <c r="K336" s="1101"/>
      <c r="L336" s="1101"/>
      <c r="M336" s="1101"/>
    </row>
    <row r="337" spans="8:8">
      <c r="B337" s="1101"/>
      <c r="C337" s="1101"/>
      <c r="D337" s="1101"/>
      <c r="E337" s="1101"/>
      <c r="F337" s="1101"/>
      <c r="G337" s="1101"/>
      <c r="H337" s="1101"/>
      <c r="I337" s="1101"/>
      <c r="J337" s="1101"/>
      <c r="K337" s="1101"/>
      <c r="L337" s="1101"/>
      <c r="M337" s="1101"/>
    </row>
    <row r="338" spans="8:8">
      <c r="B338" s="1101"/>
      <c r="C338" s="1101"/>
      <c r="D338" s="1101"/>
      <c r="E338" s="1101"/>
      <c r="F338" s="1101"/>
      <c r="G338" s="1101"/>
      <c r="H338" s="1101"/>
      <c r="I338" s="1101"/>
      <c r="J338" s="1101"/>
      <c r="K338" s="1101"/>
      <c r="L338" s="1101"/>
      <c r="M338" s="1101"/>
    </row>
    <row r="339" spans="8:8">
      <c r="B339" s="1101"/>
      <c r="C339" s="1101"/>
      <c r="D339" s="1101"/>
      <c r="E339" s="1101"/>
      <c r="F339" s="1101"/>
      <c r="G339" s="1101"/>
      <c r="H339" s="1101"/>
      <c r="I339" s="1101"/>
      <c r="J339" s="1101"/>
      <c r="K339" s="1101"/>
      <c r="L339" s="1101"/>
      <c r="M339" s="1101"/>
    </row>
    <row r="340" spans="8:8">
      <c r="B340" s="1101"/>
      <c r="C340" s="1101"/>
      <c r="D340" s="1101"/>
      <c r="E340" s="1101"/>
      <c r="F340" s="1101"/>
      <c r="G340" s="1101"/>
      <c r="H340" s="1101"/>
      <c r="I340" s="1101"/>
      <c r="J340" s="1101"/>
      <c r="K340" s="1101"/>
      <c r="L340" s="1101"/>
      <c r="M340" s="1101"/>
    </row>
    <row r="341" spans="8:8">
      <c r="B341" s="1101"/>
      <c r="C341" s="1101"/>
      <c r="D341" s="1101"/>
      <c r="E341" s="1101"/>
      <c r="F341" s="1101"/>
      <c r="G341" s="1101"/>
      <c r="H341" s="1101"/>
      <c r="I341" s="1101"/>
      <c r="J341" s="1101"/>
      <c r="K341" s="1101"/>
      <c r="L341" s="1101"/>
      <c r="M341" s="1101"/>
    </row>
    <row r="342" spans="8:8">
      <c r="B342" s="1101"/>
      <c r="C342" s="1101"/>
      <c r="D342" s="1101"/>
      <c r="E342" s="1101"/>
      <c r="F342" s="1101"/>
      <c r="G342" s="1101"/>
      <c r="H342" s="1101"/>
      <c r="I342" s="1101"/>
      <c r="J342" s="1101"/>
      <c r="K342" s="1101"/>
      <c r="L342" s="1101"/>
      <c r="M342" s="1101"/>
    </row>
    <row r="343" spans="8:8">
      <c r="B343" s="1101"/>
      <c r="C343" s="1101"/>
      <c r="D343" s="1101"/>
      <c r="E343" s="1101"/>
      <c r="F343" s="1101"/>
      <c r="G343" s="1101"/>
      <c r="H343" s="1101"/>
      <c r="I343" s="1101"/>
      <c r="J343" s="1101"/>
      <c r="K343" s="1101"/>
      <c r="L343" s="1101"/>
      <c r="M343" s="1101"/>
    </row>
    <row r="344" spans="8:8">
      <c r="B344" s="1101"/>
      <c r="C344" s="1101"/>
      <c r="D344" s="1101"/>
      <c r="E344" s="1101"/>
      <c r="F344" s="1101"/>
      <c r="G344" s="1101"/>
      <c r="H344" s="1101"/>
      <c r="I344" s="1101"/>
      <c r="J344" s="1101"/>
      <c r="K344" s="1101"/>
      <c r="L344" s="1101"/>
      <c r="M344" s="1101"/>
    </row>
    <row r="345" spans="8:8">
      <c r="B345" s="1101"/>
      <c r="C345" s="1101"/>
      <c r="D345" s="1101"/>
      <c r="E345" s="1101"/>
      <c r="F345" s="1101"/>
      <c r="G345" s="1101"/>
      <c r="H345" s="1101"/>
      <c r="I345" s="1101"/>
      <c r="J345" s="1101"/>
      <c r="K345" s="1101"/>
      <c r="L345" s="1101"/>
      <c r="M345" s="1101"/>
    </row>
    <row r="346" spans="8:8">
      <c r="B346" s="1101"/>
      <c r="C346" s="1101"/>
      <c r="D346" s="1101"/>
      <c r="E346" s="1101"/>
      <c r="F346" s="1101"/>
      <c r="G346" s="1101"/>
      <c r="H346" s="1101"/>
      <c r="I346" s="1101"/>
      <c r="J346" s="1101"/>
      <c r="K346" s="1101"/>
      <c r="L346" s="1101"/>
      <c r="M346" s="1101"/>
    </row>
    <row r="347" spans="8:8">
      <c r="B347" s="1101"/>
      <c r="C347" s="1101"/>
      <c r="D347" s="1101"/>
      <c r="E347" s="1101"/>
      <c r="F347" s="1101"/>
      <c r="G347" s="1101"/>
      <c r="H347" s="1101"/>
      <c r="I347" s="1101"/>
      <c r="J347" s="1101"/>
      <c r="K347" s="1101"/>
      <c r="L347" s="1101"/>
      <c r="M347" s="1101"/>
    </row>
    <row r="348" spans="8:8">
      <c r="B348" s="1101"/>
      <c r="C348" s="1101"/>
      <c r="D348" s="1101"/>
      <c r="E348" s="1101"/>
      <c r="F348" s="1101"/>
      <c r="G348" s="1101"/>
      <c r="H348" s="1101"/>
      <c r="I348" s="1101"/>
      <c r="J348" s="1101"/>
      <c r="K348" s="1101"/>
      <c r="L348" s="1101"/>
      <c r="M348" s="1101"/>
    </row>
    <row r="349" spans="8:8">
      <c r="B349" s="1101"/>
      <c r="C349" s="1101"/>
      <c r="D349" s="1101"/>
      <c r="E349" s="1101"/>
      <c r="F349" s="1101"/>
      <c r="G349" s="1101"/>
      <c r="H349" s="1101"/>
      <c r="I349" s="1101"/>
      <c r="J349" s="1101"/>
      <c r="K349" s="1101"/>
      <c r="L349" s="1101"/>
      <c r="M349" s="1101"/>
    </row>
    <row r="350" spans="8:8">
      <c r="B350" s="1101"/>
      <c r="C350" s="1101"/>
      <c r="D350" s="1101"/>
      <c r="E350" s="1101"/>
      <c r="F350" s="1101"/>
      <c r="G350" s="1101"/>
      <c r="H350" s="1101"/>
      <c r="I350" s="1101"/>
      <c r="J350" s="1101"/>
      <c r="K350" s="1101"/>
      <c r="L350" s="1101"/>
      <c r="M350" s="1101"/>
    </row>
    <row r="351" spans="8:8">
      <c r="B351" s="1101"/>
      <c r="C351" s="1101"/>
      <c r="D351" s="1101"/>
      <c r="E351" s="1101"/>
      <c r="F351" s="1101"/>
      <c r="G351" s="1101"/>
      <c r="H351" s="1101"/>
      <c r="I351" s="1101"/>
      <c r="J351" s="1101"/>
      <c r="K351" s="1101"/>
      <c r="L351" s="1101"/>
      <c r="M351" s="1101"/>
    </row>
    <row r="352" spans="8:8">
      <c r="B352" s="1101"/>
      <c r="C352" s="1101"/>
      <c r="D352" s="1101"/>
      <c r="E352" s="1101"/>
      <c r="F352" s="1101"/>
      <c r="G352" s="1101"/>
      <c r="H352" s="1101"/>
      <c r="I352" s="1101"/>
      <c r="J352" s="1101"/>
      <c r="K352" s="1101"/>
      <c r="L352" s="1101"/>
      <c r="M352" s="1101"/>
    </row>
    <row r="353" spans="8:8">
      <c r="B353" s="1101"/>
      <c r="C353" s="1101"/>
      <c r="D353" s="1101"/>
      <c r="E353" s="1101"/>
      <c r="F353" s="1101"/>
      <c r="G353" s="1101"/>
      <c r="H353" s="1101"/>
      <c r="I353" s="1101"/>
      <c r="J353" s="1101"/>
      <c r="K353" s="1101"/>
      <c r="L353" s="1101"/>
      <c r="M353" s="1101"/>
    </row>
    <row r="354" spans="8:8">
      <c r="B354" s="1101"/>
      <c r="C354" s="1101"/>
      <c r="D354" s="1101"/>
      <c r="E354" s="1101"/>
      <c r="F354" s="1101"/>
      <c r="G354" s="1101"/>
      <c r="H354" s="1101"/>
      <c r="I354" s="1101"/>
      <c r="J354" s="1101"/>
      <c r="K354" s="1101"/>
      <c r="L354" s="1101"/>
      <c r="M354" s="1101"/>
    </row>
    <row r="355" spans="8:8">
      <c r="B355" s="1101"/>
      <c r="C355" s="1101"/>
      <c r="D355" s="1101"/>
      <c r="E355" s="1101"/>
      <c r="F355" s="1101"/>
      <c r="G355" s="1101"/>
      <c r="H355" s="1101"/>
      <c r="I355" s="1101"/>
      <c r="J355" s="1101"/>
      <c r="K355" s="1101"/>
      <c r="L355" s="1101"/>
      <c r="M355" s="1101"/>
    </row>
    <row r="356" spans="8:8">
      <c r="B356" s="1101"/>
      <c r="C356" s="1101"/>
      <c r="D356" s="1101"/>
      <c r="E356" s="1101"/>
      <c r="F356" s="1101"/>
      <c r="G356" s="1101"/>
      <c r="H356" s="1101"/>
      <c r="I356" s="1101"/>
      <c r="J356" s="1101"/>
      <c r="K356" s="1101"/>
      <c r="L356" s="1101"/>
      <c r="M356" s="1101"/>
    </row>
    <row r="357" spans="8:8">
      <c r="B357" s="1101"/>
      <c r="C357" s="1101"/>
      <c r="D357" s="1101"/>
      <c r="E357" s="1101"/>
      <c r="F357" s="1101"/>
      <c r="G357" s="1101"/>
      <c r="H357" s="1101"/>
      <c r="I357" s="1101"/>
      <c r="J357" s="1101"/>
      <c r="K357" s="1101"/>
      <c r="L357" s="1101"/>
      <c r="M357" s="1101"/>
    </row>
    <row r="358" spans="8:8">
      <c r="B358" s="1101"/>
      <c r="C358" s="1101"/>
      <c r="D358" s="1101"/>
      <c r="E358" s="1101"/>
      <c r="F358" s="1101"/>
      <c r="G358" s="1101"/>
      <c r="H358" s="1101"/>
      <c r="I358" s="1101"/>
      <c r="J358" s="1101"/>
      <c r="K358" s="1101"/>
      <c r="L358" s="1101"/>
      <c r="M358" s="1101"/>
    </row>
    <row r="359" spans="8:8">
      <c r="B359" s="1101"/>
      <c r="C359" s="1101"/>
      <c r="D359" s="1101"/>
      <c r="E359" s="1101"/>
      <c r="F359" s="1101"/>
      <c r="G359" s="1101"/>
      <c r="H359" s="1101"/>
      <c r="I359" s="1101"/>
      <c r="J359" s="1101"/>
      <c r="K359" s="1101"/>
      <c r="L359" s="1101"/>
      <c r="M359" s="1101"/>
    </row>
    <row r="360" spans="8:8">
      <c r="B360" s="1101"/>
      <c r="C360" s="1101"/>
      <c r="D360" s="1101"/>
      <c r="E360" s="1101"/>
      <c r="F360" s="1101"/>
      <c r="G360" s="1101"/>
      <c r="H360" s="1101"/>
      <c r="I360" s="1101"/>
      <c r="J360" s="1101"/>
      <c r="K360" s="1101"/>
      <c r="L360" s="1101"/>
      <c r="M360" s="1101"/>
    </row>
    <row r="361" spans="8:8">
      <c r="B361" s="1101"/>
      <c r="C361" s="1101"/>
      <c r="D361" s="1101"/>
      <c r="E361" s="1101"/>
      <c r="F361" s="1101"/>
      <c r="G361" s="1101"/>
      <c r="H361" s="1101"/>
      <c r="I361" s="1101"/>
      <c r="J361" s="1101"/>
      <c r="K361" s="1101"/>
      <c r="L361" s="1101"/>
      <c r="M361" s="1101"/>
    </row>
    <row r="362" spans="8:8">
      <c r="B362" s="1101"/>
      <c r="C362" s="1101"/>
      <c r="D362" s="1101"/>
      <c r="E362" s="1101"/>
      <c r="F362" s="1101"/>
      <c r="G362" s="1101"/>
      <c r="H362" s="1101"/>
      <c r="I362" s="1101"/>
      <c r="J362" s="1101"/>
      <c r="K362" s="1101"/>
      <c r="L362" s="1101"/>
      <c r="M362" s="1101"/>
    </row>
    <row r="363" spans="8:8">
      <c r="B363" s="1101"/>
      <c r="C363" s="1101"/>
      <c r="D363" s="1101"/>
      <c r="E363" s="1101"/>
      <c r="F363" s="1101"/>
      <c r="G363" s="1101"/>
      <c r="H363" s="1101"/>
      <c r="I363" s="1101"/>
      <c r="J363" s="1101"/>
      <c r="K363" s="1101"/>
      <c r="L363" s="1101"/>
      <c r="M363" s="1101"/>
    </row>
    <row r="364" spans="8:8">
      <c r="B364" s="1101"/>
      <c r="C364" s="1101"/>
      <c r="D364" s="1101"/>
      <c r="E364" s="1101"/>
      <c r="F364" s="1101"/>
      <c r="G364" s="1101"/>
      <c r="H364" s="1101"/>
      <c r="I364" s="1101"/>
      <c r="J364" s="1101"/>
      <c r="K364" s="1101"/>
      <c r="L364" s="1101"/>
      <c r="M364" s="1101"/>
    </row>
    <row r="365" spans="8:8">
      <c r="B365" s="1101"/>
      <c r="C365" s="1101"/>
      <c r="D365" s="1101"/>
      <c r="E365" s="1101"/>
      <c r="F365" s="1101"/>
      <c r="G365" s="1101"/>
      <c r="H365" s="1101"/>
      <c r="I365" s="1101"/>
      <c r="J365" s="1101"/>
      <c r="K365" s="1101"/>
      <c r="L365" s="1101"/>
      <c r="M365" s="1101"/>
    </row>
    <row r="366" spans="8:8">
      <c r="B366" s="1101"/>
      <c r="C366" s="1101"/>
      <c r="D366" s="1101"/>
      <c r="E366" s="1101"/>
      <c r="F366" s="1101"/>
      <c r="G366" s="1101"/>
      <c r="H366" s="1101"/>
      <c r="I366" s="1101"/>
      <c r="J366" s="1101"/>
      <c r="K366" s="1101"/>
      <c r="L366" s="1101"/>
      <c r="M366" s="1101"/>
    </row>
    <row r="367" spans="8:8">
      <c r="B367" s="1101"/>
      <c r="C367" s="1101"/>
      <c r="D367" s="1101"/>
      <c r="E367" s="1101"/>
      <c r="F367" s="1101"/>
      <c r="G367" s="1101"/>
      <c r="H367" s="1101"/>
      <c r="I367" s="1101"/>
      <c r="J367" s="1101"/>
      <c r="K367" s="1101"/>
      <c r="L367" s="1101"/>
      <c r="M367" s="1101"/>
    </row>
    <row r="368" spans="8:8">
      <c r="B368" s="1101"/>
      <c r="C368" s="1101"/>
      <c r="D368" s="1101"/>
      <c r="E368" s="1101"/>
      <c r="F368" s="1101"/>
      <c r="G368" s="1101"/>
      <c r="H368" s="1101"/>
      <c r="I368" s="1101"/>
      <c r="J368" s="1101"/>
      <c r="K368" s="1101"/>
      <c r="L368" s="1101"/>
      <c r="M368" s="1101"/>
    </row>
    <row r="369" spans="8:8">
      <c r="B369" s="1101"/>
      <c r="C369" s="1101"/>
      <c r="D369" s="1101"/>
      <c r="E369" s="1101"/>
      <c r="F369" s="1101"/>
      <c r="G369" s="1101"/>
      <c r="H369" s="1101"/>
      <c r="I369" s="1101"/>
      <c r="J369" s="1101"/>
      <c r="K369" s="1101"/>
      <c r="L369" s="1101"/>
      <c r="M369" s="1101"/>
    </row>
    <row r="370" spans="8:8">
      <c r="B370" s="1101"/>
      <c r="C370" s="1101"/>
      <c r="D370" s="1101"/>
      <c r="E370" s="1101"/>
      <c r="F370" s="1101"/>
      <c r="G370" s="1101"/>
      <c r="H370" s="1101"/>
      <c r="I370" s="1101"/>
      <c r="J370" s="1101"/>
      <c r="K370" s="1101"/>
      <c r="L370" s="1101"/>
      <c r="M370" s="1101"/>
    </row>
    <row r="371" spans="8:8">
      <c r="B371" s="1101"/>
      <c r="C371" s="1101"/>
      <c r="D371" s="1101"/>
      <c r="E371" s="1101"/>
      <c r="F371" s="1101"/>
      <c r="G371" s="1101"/>
      <c r="H371" s="1101"/>
      <c r="I371" s="1101"/>
      <c r="J371" s="1101"/>
      <c r="K371" s="1101"/>
      <c r="L371" s="1101"/>
      <c r="M371" s="1101"/>
    </row>
    <row r="372" spans="8:8">
      <c r="B372" s="1101"/>
      <c r="C372" s="1101"/>
      <c r="D372" s="1101"/>
      <c r="E372" s="1101"/>
      <c r="F372" s="1101"/>
      <c r="G372" s="1101"/>
      <c r="H372" s="1101"/>
      <c r="I372" s="1101"/>
      <c r="J372" s="1101"/>
      <c r="K372" s="1101"/>
      <c r="L372" s="1101"/>
      <c r="M372" s="1101"/>
    </row>
    <row r="373" spans="8:8">
      <c r="B373" s="1101"/>
      <c r="C373" s="1101"/>
      <c r="D373" s="1101"/>
      <c r="E373" s="1101"/>
      <c r="F373" s="1101"/>
      <c r="G373" s="1101"/>
      <c r="H373" s="1101"/>
      <c r="I373" s="1101"/>
      <c r="J373" s="1101"/>
      <c r="K373" s="1101"/>
      <c r="L373" s="1101"/>
      <c r="M373" s="1101"/>
    </row>
    <row r="374" spans="8:8">
      <c r="B374" s="1101"/>
      <c r="C374" s="1101"/>
      <c r="D374" s="1101"/>
      <c r="E374" s="1101"/>
      <c r="F374" s="1101"/>
      <c r="G374" s="1101"/>
      <c r="H374" s="1101"/>
      <c r="I374" s="1101"/>
      <c r="J374" s="1101"/>
      <c r="K374" s="1101"/>
      <c r="L374" s="1101"/>
      <c r="M374" s="1101"/>
    </row>
    <row r="375" spans="8:8">
      <c r="B375" s="1101"/>
      <c r="C375" s="1101"/>
      <c r="D375" s="1101"/>
      <c r="E375" s="1101"/>
      <c r="F375" s="1101"/>
      <c r="G375" s="1101"/>
      <c r="H375" s="1101"/>
      <c r="I375" s="1101"/>
      <c r="J375" s="1101"/>
      <c r="K375" s="1101"/>
      <c r="L375" s="1101"/>
      <c r="M375" s="1101"/>
    </row>
    <row r="376" spans="8:8">
      <c r="B376" s="1101"/>
      <c r="C376" s="1101"/>
      <c r="D376" s="1101"/>
      <c r="E376" s="1101"/>
      <c r="F376" s="1101"/>
      <c r="G376" s="1101"/>
      <c r="H376" s="1101"/>
      <c r="I376" s="1101"/>
      <c r="J376" s="1101"/>
      <c r="K376" s="1101"/>
      <c r="L376" s="1101"/>
      <c r="M376" s="1101"/>
    </row>
    <row r="377" spans="8:8">
      <c r="B377" s="1101"/>
      <c r="C377" s="1101"/>
      <c r="D377" s="1101"/>
      <c r="E377" s="1101"/>
      <c r="F377" s="1101"/>
      <c r="G377" s="1101"/>
      <c r="H377" s="1101"/>
      <c r="I377" s="1101"/>
      <c r="J377" s="1101"/>
      <c r="K377" s="1101"/>
      <c r="L377" s="1101"/>
      <c r="M377" s="1101"/>
    </row>
    <row r="378" spans="8:8">
      <c r="B378" s="1101"/>
      <c r="C378" s="1101"/>
      <c r="D378" s="1101"/>
      <c r="E378" s="1101"/>
      <c r="F378" s="1101"/>
      <c r="G378" s="1101"/>
      <c r="H378" s="1101"/>
      <c r="I378" s="1101"/>
      <c r="J378" s="1101"/>
      <c r="K378" s="1101"/>
      <c r="L378" s="1101"/>
      <c r="M378" s="1101"/>
    </row>
    <row r="379" spans="8:8">
      <c r="B379" s="1101"/>
      <c r="C379" s="1101"/>
      <c r="D379" s="1101"/>
      <c r="E379" s="1101"/>
      <c r="F379" s="1101"/>
      <c r="G379" s="1101"/>
      <c r="H379" s="1101"/>
      <c r="I379" s="1101"/>
      <c r="J379" s="1101"/>
      <c r="K379" s="1101"/>
      <c r="L379" s="1101"/>
      <c r="M379" s="1101"/>
    </row>
    <row r="380" spans="8:8">
      <c r="B380" s="1101"/>
      <c r="C380" s="1101"/>
      <c r="D380" s="1101"/>
      <c r="E380" s="1101"/>
      <c r="F380" s="1101"/>
      <c r="G380" s="1101"/>
      <c r="H380" s="1101"/>
      <c r="I380" s="1101"/>
      <c r="J380" s="1101"/>
      <c r="K380" s="1101"/>
      <c r="L380" s="1101"/>
      <c r="M380" s="1101"/>
    </row>
    <row r="381" spans="8:8">
      <c r="B381" s="1101"/>
      <c r="C381" s="1101"/>
      <c r="D381" s="1101"/>
      <c r="E381" s="1101"/>
      <c r="F381" s="1101"/>
      <c r="G381" s="1101"/>
      <c r="H381" s="1101"/>
      <c r="I381" s="1101"/>
      <c r="J381" s="1101"/>
      <c r="K381" s="1101"/>
      <c r="L381" s="1101"/>
      <c r="M381" s="1101"/>
    </row>
    <row r="382" spans="8:8">
      <c r="B382" s="1101"/>
      <c r="C382" s="1101"/>
      <c r="D382" s="1101"/>
      <c r="E382" s="1101"/>
      <c r="F382" s="1101"/>
      <c r="G382" s="1101"/>
      <c r="H382" s="1101"/>
      <c r="I382" s="1101"/>
      <c r="J382" s="1101"/>
      <c r="K382" s="1101"/>
      <c r="L382" s="1101"/>
      <c r="M382" s="1101"/>
    </row>
    <row r="383" spans="8:8">
      <c r="B383" s="1101"/>
      <c r="C383" s="1101"/>
      <c r="D383" s="1101"/>
      <c r="E383" s="1101"/>
      <c r="F383" s="1101"/>
      <c r="G383" s="1101"/>
      <c r="H383" s="1101"/>
      <c r="I383" s="1101"/>
      <c r="J383" s="1101"/>
      <c r="K383" s="1101"/>
      <c r="L383" s="1101"/>
      <c r="M383" s="1101"/>
    </row>
    <row r="384" spans="8:8">
      <c r="B384" s="1101"/>
      <c r="C384" s="1101"/>
      <c r="D384" s="1101"/>
      <c r="E384" s="1101"/>
      <c r="F384" s="1101"/>
      <c r="G384" s="1101"/>
      <c r="H384" s="1101"/>
      <c r="I384" s="1101"/>
      <c r="J384" s="1101"/>
      <c r="K384" s="1101"/>
      <c r="L384" s="1101"/>
      <c r="M384" s="1101"/>
    </row>
    <row r="385" spans="8:8">
      <c r="B385" s="1101"/>
      <c r="C385" s="1101"/>
      <c r="D385" s="1101"/>
      <c r="E385" s="1101"/>
      <c r="F385" s="1101"/>
      <c r="G385" s="1101"/>
      <c r="H385" s="1101"/>
      <c r="I385" s="1101"/>
      <c r="J385" s="1101"/>
      <c r="K385" s="1101"/>
      <c r="L385" s="1101"/>
      <c r="M385" s="1101"/>
    </row>
    <row r="386" spans="8:8">
      <c r="B386" s="1101"/>
      <c r="C386" s="1101"/>
      <c r="D386" s="1101"/>
      <c r="E386" s="1101"/>
      <c r="F386" s="1101"/>
      <c r="G386" s="1101"/>
      <c r="H386" s="1101"/>
      <c r="I386" s="1101"/>
      <c r="J386" s="1101"/>
      <c r="K386" s="1101"/>
      <c r="L386" s="1101"/>
      <c r="M386" s="1101"/>
    </row>
    <row r="387" spans="8:8">
      <c r="B387" s="1101"/>
      <c r="C387" s="1101"/>
      <c r="D387" s="1101"/>
      <c r="E387" s="1101"/>
      <c r="F387" s="1101"/>
      <c r="G387" s="1101"/>
      <c r="H387" s="1101"/>
      <c r="I387" s="1101"/>
      <c r="J387" s="1101"/>
      <c r="K387" s="1101"/>
      <c r="L387" s="1101"/>
      <c r="M387" s="1101"/>
    </row>
    <row r="388" spans="8:8">
      <c r="B388" s="1101"/>
      <c r="C388" s="1101"/>
      <c r="D388" s="1101"/>
      <c r="E388" s="1101"/>
      <c r="F388" s="1101"/>
      <c r="G388" s="1101"/>
      <c r="H388" s="1101"/>
      <c r="I388" s="1101"/>
      <c r="J388" s="1101"/>
      <c r="K388" s="1101"/>
      <c r="L388" s="1101"/>
      <c r="M388" s="1101"/>
    </row>
    <row r="389" spans="8:8">
      <c r="B389" s="1101"/>
      <c r="C389" s="1101"/>
      <c r="D389" s="1101"/>
      <c r="E389" s="1101"/>
      <c r="F389" s="1101"/>
      <c r="G389" s="1101"/>
      <c r="H389" s="1101"/>
      <c r="I389" s="1101"/>
      <c r="J389" s="1101"/>
      <c r="K389" s="1101"/>
      <c r="L389" s="1101"/>
      <c r="M389" s="1101"/>
    </row>
    <row r="390" spans="8:8">
      <c r="B390" s="1101"/>
      <c r="C390" s="1101"/>
      <c r="D390" s="1101"/>
      <c r="E390" s="1101"/>
      <c r="F390" s="1101"/>
      <c r="G390" s="1101"/>
      <c r="H390" s="1101"/>
      <c r="I390" s="1101"/>
      <c r="J390" s="1101"/>
      <c r="K390" s="1101"/>
      <c r="L390" s="1101"/>
      <c r="M390" s="1101"/>
    </row>
    <row r="391" spans="8:8">
      <c r="B391" s="1101"/>
      <c r="C391" s="1101"/>
      <c r="D391" s="1101"/>
      <c r="E391" s="1101"/>
      <c r="F391" s="1101"/>
      <c r="G391" s="1101"/>
      <c r="H391" s="1101"/>
      <c r="I391" s="1101"/>
      <c r="J391" s="1101"/>
      <c r="K391" s="1101"/>
      <c r="L391" s="1101"/>
      <c r="M391" s="1101"/>
    </row>
    <row r="392" spans="8:8">
      <c r="B392" s="1101"/>
      <c r="C392" s="1101"/>
      <c r="D392" s="1101"/>
      <c r="E392" s="1101"/>
      <c r="F392" s="1101"/>
      <c r="G392" s="1101"/>
      <c r="H392" s="1101"/>
      <c r="I392" s="1101"/>
      <c r="J392" s="1101"/>
      <c r="K392" s="1101"/>
      <c r="L392" s="1101"/>
      <c r="M392" s="1101"/>
    </row>
    <row r="393" spans="8:8">
      <c r="B393" s="1101"/>
      <c r="C393" s="1101"/>
      <c r="D393" s="1101"/>
      <c r="E393" s="1101"/>
      <c r="F393" s="1101"/>
      <c r="G393" s="1101"/>
      <c r="H393" s="1101"/>
      <c r="I393" s="1101"/>
      <c r="J393" s="1101"/>
      <c r="K393" s="1101"/>
      <c r="L393" s="1101"/>
      <c r="M393" s="1101"/>
    </row>
    <row r="394" spans="8:8">
      <c r="B394" s="1101"/>
      <c r="C394" s="1101"/>
      <c r="D394" s="1101"/>
      <c r="E394" s="1101"/>
      <c r="F394" s="1101"/>
      <c r="G394" s="1101"/>
      <c r="H394" s="1101"/>
      <c r="I394" s="1101"/>
      <c r="J394" s="1101"/>
      <c r="K394" s="1101"/>
      <c r="L394" s="1101"/>
      <c r="M394" s="1101"/>
    </row>
    <row r="395" spans="8:8">
      <c r="B395" s="1101"/>
      <c r="C395" s="1101"/>
      <c r="D395" s="1101"/>
      <c r="E395" s="1101"/>
      <c r="F395" s="1101"/>
      <c r="G395" s="1101"/>
      <c r="H395" s="1101"/>
      <c r="I395" s="1101"/>
      <c r="J395" s="1101"/>
      <c r="K395" s="1101"/>
      <c r="L395" s="1101"/>
      <c r="M395" s="1101"/>
    </row>
    <row r="396" spans="8:8">
      <c r="B396" s="1101"/>
      <c r="C396" s="1101"/>
      <c r="D396" s="1101"/>
      <c r="E396" s="1101"/>
      <c r="F396" s="1101"/>
      <c r="G396" s="1101"/>
      <c r="H396" s="1101"/>
      <c r="I396" s="1101"/>
      <c r="J396" s="1101"/>
      <c r="K396" s="1101"/>
      <c r="L396" s="1101"/>
      <c r="M396" s="1101"/>
    </row>
    <row r="397" spans="8:8">
      <c r="B397" s="1101"/>
      <c r="C397" s="1101"/>
      <c r="D397" s="1101"/>
      <c r="E397" s="1101"/>
      <c r="F397" s="1101"/>
      <c r="G397" s="1101"/>
      <c r="H397" s="1101"/>
      <c r="I397" s="1101"/>
      <c r="J397" s="1101"/>
      <c r="K397" s="1101"/>
      <c r="L397" s="1101"/>
      <c r="M397" s="1101"/>
    </row>
    <row r="398" spans="8:8">
      <c r="B398" s="1101"/>
      <c r="C398" s="1101"/>
      <c r="D398" s="1101"/>
      <c r="E398" s="1101"/>
      <c r="F398" s="1101"/>
      <c r="G398" s="1101"/>
      <c r="H398" s="1101"/>
      <c r="I398" s="1101"/>
      <c r="J398" s="1101"/>
      <c r="K398" s="1101"/>
      <c r="L398" s="1101"/>
      <c r="M398" s="1101"/>
    </row>
    <row r="399" spans="8:8">
      <c r="B399" s="1101"/>
      <c r="C399" s="1101"/>
      <c r="D399" s="1101"/>
      <c r="E399" s="1101"/>
      <c r="F399" s="1101"/>
      <c r="G399" s="1101"/>
      <c r="H399" s="1101"/>
      <c r="I399" s="1101"/>
      <c r="J399" s="1101"/>
      <c r="K399" s="1101"/>
      <c r="L399" s="1101"/>
      <c r="M399" s="1101"/>
    </row>
    <row r="400" spans="8:8">
      <c r="B400" s="1101"/>
      <c r="C400" s="1101"/>
      <c r="D400" s="1101"/>
      <c r="E400" s="1101"/>
      <c r="F400" s="1101"/>
      <c r="G400" s="1101"/>
      <c r="H400" s="1101"/>
      <c r="I400" s="1101"/>
      <c r="J400" s="1101"/>
      <c r="K400" s="1101"/>
      <c r="L400" s="1101"/>
      <c r="M400" s="1101"/>
    </row>
    <row r="401" spans="8:8">
      <c r="B401" s="1101"/>
      <c r="C401" s="1101"/>
      <c r="D401" s="1101"/>
      <c r="E401" s="1101"/>
      <c r="F401" s="1101"/>
      <c r="G401" s="1101"/>
      <c r="H401" s="1101"/>
      <c r="I401" s="1101"/>
      <c r="J401" s="1101"/>
      <c r="K401" s="1101"/>
      <c r="L401" s="1101"/>
      <c r="M401" s="1101"/>
    </row>
    <row r="402" spans="8:8">
      <c r="B402" s="1101"/>
      <c r="C402" s="1101"/>
      <c r="D402" s="1101"/>
      <c r="E402" s="1101"/>
      <c r="F402" s="1101"/>
      <c r="G402" s="1101"/>
      <c r="H402" s="1101"/>
      <c r="I402" s="1101"/>
      <c r="J402" s="1101"/>
      <c r="K402" s="1101"/>
      <c r="L402" s="1101"/>
      <c r="M402" s="1101"/>
    </row>
    <row r="403" spans="8:8">
      <c r="B403" s="1101"/>
      <c r="C403" s="1101"/>
      <c r="D403" s="1101"/>
      <c r="E403" s="1101"/>
      <c r="F403" s="1101"/>
      <c r="G403" s="1101"/>
      <c r="H403" s="1101"/>
      <c r="I403" s="1101"/>
      <c r="J403" s="1101"/>
      <c r="K403" s="1101"/>
      <c r="L403" s="1101"/>
      <c r="M403" s="1101"/>
    </row>
    <row r="404" spans="8:8">
      <c r="B404" s="1101"/>
      <c r="C404" s="1101"/>
      <c r="D404" s="1101"/>
      <c r="E404" s="1101"/>
      <c r="F404" s="1101"/>
      <c r="G404" s="1101"/>
      <c r="H404" s="1101"/>
      <c r="I404" s="1101"/>
      <c r="J404" s="1101"/>
      <c r="K404" s="1101"/>
      <c r="L404" s="1101"/>
      <c r="M404" s="1101"/>
    </row>
    <row r="405" spans="8:8">
      <c r="B405" s="1101"/>
      <c r="C405" s="1101"/>
      <c r="D405" s="1101"/>
      <c r="E405" s="1101"/>
      <c r="F405" s="1101"/>
      <c r="G405" s="1101"/>
      <c r="H405" s="1101"/>
      <c r="I405" s="1101"/>
      <c r="J405" s="1101"/>
      <c r="K405" s="1101"/>
      <c r="L405" s="1101"/>
      <c r="M405" s="1101"/>
    </row>
    <row r="406" spans="8:8">
      <c r="B406" s="1101"/>
      <c r="C406" s="1101"/>
      <c r="D406" s="1101"/>
      <c r="E406" s="1101"/>
      <c r="F406" s="1101"/>
      <c r="G406" s="1101"/>
      <c r="H406" s="1101"/>
      <c r="I406" s="1101"/>
      <c r="J406" s="1101"/>
      <c r="K406" s="1101"/>
      <c r="L406" s="1101"/>
      <c r="M406" s="1101"/>
    </row>
    <row r="407" spans="8:8">
      <c r="B407" s="1101"/>
      <c r="C407" s="1101"/>
      <c r="D407" s="1101"/>
      <c r="E407" s="1101"/>
      <c r="F407" s="1101"/>
      <c r="G407" s="1101"/>
      <c r="H407" s="1101"/>
      <c r="I407" s="1101"/>
      <c r="J407" s="1101"/>
      <c r="K407" s="1101"/>
      <c r="L407" s="1101"/>
      <c r="M407" s="1101"/>
    </row>
    <row r="408" spans="8:8">
      <c r="B408" s="1101"/>
      <c r="C408" s="1101"/>
      <c r="D408" s="1101"/>
      <c r="E408" s="1101"/>
      <c r="F408" s="1101"/>
      <c r="G408" s="1101"/>
      <c r="H408" s="1101"/>
      <c r="I408" s="1101"/>
      <c r="J408" s="1101"/>
      <c r="K408" s="1101"/>
      <c r="L408" s="1101"/>
      <c r="M408" s="1101"/>
    </row>
    <row r="409" spans="8:8">
      <c r="B409" s="1101"/>
      <c r="C409" s="1101"/>
      <c r="D409" s="1101"/>
      <c r="E409" s="1101"/>
      <c r="F409" s="1101"/>
      <c r="G409" s="1101"/>
      <c r="H409" s="1101"/>
      <c r="I409" s="1101"/>
      <c r="J409" s="1101"/>
      <c r="K409" s="1101"/>
      <c r="L409" s="1101"/>
      <c r="M409" s="1101"/>
    </row>
    <row r="410" spans="8:8">
      <c r="B410" s="1101"/>
      <c r="C410" s="1101"/>
      <c r="D410" s="1101"/>
      <c r="E410" s="1101"/>
      <c r="F410" s="1101"/>
      <c r="G410" s="1101"/>
      <c r="H410" s="1101"/>
      <c r="I410" s="1101"/>
      <c r="J410" s="1101"/>
      <c r="K410" s="1101"/>
      <c r="L410" s="1101"/>
      <c r="M410" s="1101"/>
    </row>
    <row r="411" spans="8:8">
      <c r="B411" s="1101"/>
      <c r="C411" s="1101"/>
      <c r="D411" s="1101"/>
      <c r="E411" s="1101"/>
      <c r="F411" s="1101"/>
      <c r="G411" s="1101"/>
      <c r="H411" s="1101"/>
      <c r="I411" s="1101"/>
      <c r="J411" s="1101"/>
      <c r="K411" s="1101"/>
      <c r="L411" s="1101"/>
      <c r="M411" s="1101"/>
    </row>
    <row r="412" spans="8:8">
      <c r="B412" s="1101"/>
      <c r="C412" s="1101"/>
      <c r="D412" s="1101"/>
      <c r="E412" s="1101"/>
      <c r="F412" s="1101"/>
      <c r="G412" s="1101"/>
      <c r="H412" s="1101"/>
      <c r="I412" s="1101"/>
      <c r="J412" s="1101"/>
      <c r="K412" s="1101"/>
      <c r="L412" s="1101"/>
      <c r="M412" s="1101"/>
    </row>
    <row r="413" spans="8:8">
      <c r="B413" s="1101"/>
      <c r="C413" s="1101"/>
      <c r="D413" s="1101"/>
      <c r="E413" s="1101"/>
      <c r="F413" s="1101"/>
      <c r="G413" s="1101"/>
      <c r="H413" s="1101"/>
      <c r="I413" s="1101"/>
      <c r="J413" s="1101"/>
      <c r="K413" s="1101"/>
      <c r="L413" s="1101"/>
      <c r="M413" s="1101"/>
    </row>
    <row r="414" spans="8:8">
      <c r="B414" s="1101"/>
      <c r="C414" s="1101"/>
      <c r="D414" s="1101"/>
      <c r="E414" s="1101"/>
      <c r="F414" s="1101"/>
      <c r="G414" s="1101"/>
      <c r="H414" s="1101"/>
      <c r="I414" s="1101"/>
      <c r="J414" s="1101"/>
      <c r="K414" s="1101"/>
      <c r="L414" s="1101"/>
      <c r="M414" s="1101"/>
    </row>
    <row r="415" spans="8:8">
      <c r="B415" s="1101"/>
      <c r="C415" s="1101"/>
      <c r="D415" s="1101"/>
      <c r="E415" s="1101"/>
      <c r="F415" s="1101"/>
      <c r="G415" s="1101"/>
      <c r="H415" s="1101"/>
      <c r="I415" s="1101"/>
      <c r="J415" s="1101"/>
      <c r="K415" s="1101"/>
      <c r="L415" s="1101"/>
      <c r="M415" s="1101"/>
    </row>
    <row r="416" spans="8:8">
      <c r="B416" s="1101"/>
      <c r="C416" s="1101"/>
      <c r="D416" s="1101"/>
      <c r="E416" s="1101"/>
      <c r="F416" s="1101"/>
      <c r="G416" s="1101"/>
      <c r="H416" s="1101"/>
      <c r="I416" s="1101"/>
      <c r="J416" s="1101"/>
      <c r="K416" s="1101"/>
      <c r="L416" s="1101"/>
      <c r="M416" s="1101"/>
    </row>
    <row r="417" spans="8:8">
      <c r="B417" s="1101"/>
      <c r="C417" s="1101"/>
      <c r="D417" s="1101"/>
      <c r="E417" s="1101"/>
      <c r="F417" s="1101"/>
      <c r="G417" s="1101"/>
      <c r="H417" s="1101"/>
      <c r="I417" s="1101"/>
      <c r="J417" s="1101"/>
      <c r="K417" s="1101"/>
      <c r="L417" s="1101"/>
      <c r="M417" s="1101"/>
    </row>
    <row r="418" spans="8:8">
      <c r="B418" s="1101"/>
      <c r="C418" s="1101"/>
      <c r="D418" s="1101"/>
      <c r="E418" s="1101"/>
      <c r="F418" s="1101"/>
      <c r="G418" s="1101"/>
      <c r="H418" s="1101"/>
      <c r="I418" s="1101"/>
      <c r="J418" s="1101"/>
      <c r="K418" s="1101"/>
      <c r="L418" s="1101"/>
      <c r="M418" s="1101"/>
    </row>
    <row r="419" spans="8:8">
      <c r="B419" s="1101"/>
      <c r="C419" s="1101"/>
      <c r="D419" s="1101"/>
      <c r="E419" s="1101"/>
      <c r="F419" s="1101"/>
      <c r="G419" s="1101"/>
      <c r="H419" s="1101"/>
      <c r="I419" s="1101"/>
      <c r="J419" s="1101"/>
      <c r="K419" s="1101"/>
      <c r="L419" s="1101"/>
      <c r="M419" s="1101"/>
    </row>
    <row r="420" spans="8:8">
      <c r="B420" s="1101"/>
      <c r="C420" s="1101"/>
      <c r="D420" s="1101"/>
      <c r="E420" s="1101"/>
      <c r="F420" s="1101"/>
      <c r="G420" s="1101"/>
      <c r="H420" s="1101"/>
      <c r="I420" s="1101"/>
      <c r="J420" s="1101"/>
      <c r="K420" s="1101"/>
      <c r="L420" s="1101"/>
      <c r="M420" s="1101"/>
    </row>
    <row r="421" spans="8:8">
      <c r="B421" s="1101"/>
      <c r="C421" s="1101"/>
      <c r="D421" s="1101"/>
      <c r="E421" s="1101"/>
      <c r="F421" s="1101"/>
      <c r="G421" s="1101"/>
      <c r="H421" s="1101"/>
      <c r="I421" s="1101"/>
      <c r="J421" s="1101"/>
      <c r="K421" s="1101"/>
      <c r="L421" s="1101"/>
      <c r="M421" s="1101"/>
    </row>
    <row r="422" spans="8:8">
      <c r="B422" s="1101"/>
      <c r="C422" s="1101"/>
      <c r="D422" s="1101"/>
      <c r="E422" s="1101"/>
      <c r="F422" s="1101"/>
      <c r="G422" s="1101"/>
      <c r="H422" s="1101"/>
      <c r="I422" s="1101"/>
      <c r="J422" s="1101"/>
      <c r="K422" s="1101"/>
      <c r="L422" s="1101"/>
      <c r="M422" s="1101"/>
    </row>
    <row r="423" spans="8:8">
      <c r="B423" s="1101"/>
      <c r="C423" s="1101"/>
      <c r="D423" s="1101"/>
      <c r="E423" s="1101"/>
      <c r="F423" s="1101"/>
      <c r="G423" s="1101"/>
      <c r="H423" s="1101"/>
      <c r="I423" s="1101"/>
      <c r="J423" s="1101"/>
      <c r="K423" s="1101"/>
      <c r="L423" s="1101"/>
      <c r="M423" s="1101"/>
    </row>
    <row r="424" spans="8:8">
      <c r="B424" s="1101"/>
      <c r="C424" s="1101"/>
      <c r="D424" s="1101"/>
      <c r="E424" s="1101"/>
      <c r="F424" s="1101"/>
      <c r="G424" s="1101"/>
      <c r="H424" s="1101"/>
      <c r="I424" s="1101"/>
      <c r="J424" s="1101"/>
      <c r="K424" s="1101"/>
      <c r="L424" s="1101"/>
      <c r="M424" s="1101"/>
    </row>
    <row r="425" spans="8:8">
      <c r="B425" s="1101"/>
      <c r="C425" s="1101"/>
      <c r="D425" s="1101"/>
      <c r="E425" s="1101"/>
      <c r="F425" s="1101"/>
      <c r="G425" s="1101"/>
      <c r="H425" s="1101"/>
      <c r="I425" s="1101"/>
      <c r="J425" s="1101"/>
      <c r="K425" s="1101"/>
      <c r="L425" s="1101"/>
      <c r="M425" s="1101"/>
    </row>
    <row r="426" spans="8:8">
      <c r="B426" s="1101"/>
      <c r="C426" s="1101"/>
      <c r="D426" s="1101"/>
      <c r="E426" s="1101"/>
      <c r="F426" s="1101"/>
      <c r="G426" s="1101"/>
      <c r="H426" s="1101"/>
      <c r="I426" s="1101"/>
      <c r="J426" s="1101"/>
      <c r="K426" s="1101"/>
      <c r="L426" s="1101"/>
      <c r="M426" s="1101"/>
    </row>
    <row r="427" spans="8:8">
      <c r="B427" s="1101"/>
      <c r="C427" s="1101"/>
      <c r="D427" s="1101"/>
      <c r="E427" s="1101"/>
      <c r="F427" s="1101"/>
      <c r="G427" s="1101"/>
      <c r="H427" s="1101"/>
      <c r="I427" s="1101"/>
      <c r="J427" s="1101"/>
      <c r="K427" s="1101"/>
      <c r="L427" s="1101"/>
      <c r="M427" s="1101"/>
    </row>
    <row r="428" spans="8:8">
      <c r="B428" s="1101"/>
      <c r="C428" s="1101"/>
      <c r="D428" s="1101"/>
      <c r="E428" s="1101"/>
      <c r="F428" s="1101"/>
      <c r="G428" s="1101"/>
      <c r="H428" s="1101"/>
      <c r="I428" s="1101"/>
      <c r="J428" s="1101"/>
      <c r="K428" s="1101"/>
      <c r="L428" s="1101"/>
      <c r="M428" s="1101"/>
    </row>
    <row r="429" spans="8:8">
      <c r="B429" s="1101"/>
      <c r="C429" s="1101"/>
      <c r="D429" s="1101"/>
      <c r="E429" s="1101"/>
      <c r="F429" s="1101"/>
      <c r="G429" s="1101"/>
      <c r="H429" s="1101"/>
      <c r="I429" s="1101"/>
      <c r="J429" s="1101"/>
      <c r="K429" s="1101"/>
      <c r="L429" s="1101"/>
      <c r="M429" s="1101"/>
    </row>
    <row r="430" spans="8:8">
      <c r="B430" s="1101"/>
      <c r="C430" s="1101"/>
      <c r="D430" s="1101"/>
      <c r="E430" s="1101"/>
      <c r="F430" s="1101"/>
      <c r="G430" s="1101"/>
      <c r="H430" s="1101"/>
      <c r="I430" s="1101"/>
      <c r="J430" s="1101"/>
      <c r="K430" s="1101"/>
      <c r="L430" s="1101"/>
      <c r="M430" s="1101"/>
    </row>
    <row r="431" spans="8:8">
      <c r="B431" s="1101"/>
      <c r="C431" s="1101"/>
      <c r="D431" s="1101"/>
      <c r="E431" s="1101"/>
      <c r="F431" s="1101"/>
      <c r="G431" s="1101"/>
      <c r="H431" s="1101"/>
      <c r="I431" s="1101"/>
      <c r="J431" s="1101"/>
      <c r="K431" s="1101"/>
      <c r="L431" s="1101"/>
      <c r="M431" s="1101"/>
    </row>
    <row r="432" spans="8:8">
      <c r="B432" s="1101"/>
      <c r="C432" s="1101"/>
      <c r="D432" s="1101"/>
      <c r="E432" s="1101"/>
      <c r="F432" s="1101"/>
      <c r="G432" s="1101"/>
      <c r="H432" s="1101"/>
      <c r="I432" s="1101"/>
      <c r="J432" s="1101"/>
      <c r="K432" s="1101"/>
      <c r="L432" s="1101"/>
      <c r="M432" s="1101"/>
    </row>
    <row r="433" spans="8:8">
      <c r="B433" s="1101"/>
      <c r="C433" s="1101"/>
      <c r="D433" s="1101"/>
      <c r="E433" s="1101"/>
      <c r="F433" s="1101"/>
      <c r="G433" s="1101"/>
      <c r="H433" s="1101"/>
      <c r="I433" s="1101"/>
      <c r="J433" s="1101"/>
      <c r="K433" s="1101"/>
      <c r="L433" s="1101"/>
      <c r="M433" s="1101"/>
    </row>
    <row r="434" spans="8:8">
      <c r="B434" s="1101"/>
      <c r="C434" s="1101"/>
      <c r="D434" s="1101"/>
      <c r="E434" s="1101"/>
      <c r="F434" s="1101"/>
      <c r="G434" s="1101"/>
      <c r="H434" s="1101"/>
      <c r="I434" s="1101"/>
      <c r="J434" s="1101"/>
      <c r="K434" s="1101"/>
      <c r="L434" s="1101"/>
      <c r="M434" s="1101"/>
    </row>
    <row r="435" spans="8:8">
      <c r="B435" s="1101"/>
      <c r="C435" s="1101"/>
      <c r="D435" s="1101"/>
      <c r="E435" s="1101"/>
      <c r="F435" s="1101"/>
      <c r="G435" s="1101"/>
      <c r="H435" s="1101"/>
      <c r="I435" s="1101"/>
      <c r="J435" s="1101"/>
      <c r="K435" s="1101"/>
      <c r="L435" s="1101"/>
      <c r="M435" s="1101"/>
    </row>
    <row r="436" spans="8:8">
      <c r="B436" s="1101"/>
      <c r="C436" s="1101"/>
      <c r="D436" s="1101"/>
      <c r="E436" s="1101"/>
      <c r="F436" s="1101"/>
      <c r="G436" s="1101"/>
      <c r="H436" s="1101"/>
      <c r="I436" s="1101"/>
      <c r="J436" s="1101"/>
      <c r="K436" s="1101"/>
      <c r="L436" s="1101"/>
      <c r="M436" s="1101"/>
    </row>
    <row r="437" spans="8:8">
      <c r="B437" s="1101"/>
      <c r="C437" s="1101"/>
      <c r="D437" s="1101"/>
      <c r="E437" s="1101"/>
      <c r="F437" s="1101"/>
      <c r="G437" s="1101"/>
      <c r="H437" s="1101"/>
      <c r="I437" s="1101"/>
      <c r="J437" s="1101"/>
      <c r="K437" s="1101"/>
      <c r="L437" s="1101"/>
      <c r="M437" s="1101"/>
    </row>
    <row r="438" spans="8:8">
      <c r="B438" s="1101"/>
      <c r="C438" s="1101"/>
      <c r="D438" s="1101"/>
      <c r="E438" s="1101"/>
      <c r="F438" s="1101"/>
      <c r="G438" s="1101"/>
      <c r="H438" s="1101"/>
      <c r="I438" s="1101"/>
      <c r="J438" s="1101"/>
      <c r="K438" s="1101"/>
      <c r="L438" s="1101"/>
      <c r="M438" s="1101"/>
    </row>
    <row r="439" spans="8:8">
      <c r="B439" s="1101"/>
      <c r="C439" s="1101"/>
      <c r="D439" s="1101"/>
      <c r="E439" s="1101"/>
      <c r="F439" s="1101"/>
      <c r="G439" s="1101"/>
      <c r="H439" s="1101"/>
      <c r="I439" s="1101"/>
      <c r="J439" s="1101"/>
      <c r="K439" s="1101"/>
      <c r="L439" s="1101"/>
      <c r="M439" s="1101"/>
    </row>
    <row r="440" spans="8:8">
      <c r="B440" s="1101"/>
      <c r="C440" s="1101"/>
      <c r="D440" s="1101"/>
      <c r="E440" s="1101"/>
      <c r="F440" s="1101"/>
      <c r="G440" s="1101"/>
      <c r="H440" s="1101"/>
      <c r="I440" s="1101"/>
      <c r="J440" s="1101"/>
      <c r="K440" s="1101"/>
      <c r="L440" s="1101"/>
      <c r="M440" s="1101"/>
    </row>
    <row r="441" spans="8:8">
      <c r="B441" s="1101"/>
      <c r="C441" s="1101"/>
      <c r="D441" s="1101"/>
      <c r="E441" s="1101"/>
      <c r="F441" s="1101"/>
      <c r="G441" s="1101"/>
      <c r="H441" s="1101"/>
      <c r="I441" s="1101"/>
      <c r="J441" s="1101"/>
      <c r="K441" s="1101"/>
      <c r="L441" s="1101"/>
      <c r="M441" s="1101"/>
    </row>
    <row r="442" spans="8:8">
      <c r="B442" s="1101"/>
      <c r="C442" s="1101"/>
      <c r="D442" s="1101"/>
      <c r="E442" s="1101"/>
      <c r="F442" s="1101"/>
      <c r="G442" s="1101"/>
      <c r="H442" s="1101"/>
      <c r="I442" s="1101"/>
      <c r="J442" s="1101"/>
      <c r="K442" s="1101"/>
      <c r="L442" s="1101"/>
      <c r="M442" s="1101"/>
    </row>
    <row r="443" spans="8:8">
      <c r="B443" s="1101"/>
      <c r="C443" s="1101"/>
      <c r="D443" s="1101"/>
      <c r="E443" s="1101"/>
      <c r="F443" s="1101"/>
      <c r="G443" s="1101"/>
      <c r="H443" s="1101"/>
      <c r="I443" s="1101"/>
      <c r="J443" s="1101"/>
      <c r="K443" s="1101"/>
      <c r="L443" s="1101"/>
      <c r="M443" s="1101"/>
    </row>
    <row r="444" spans="8:8">
      <c r="B444" s="1101"/>
      <c r="C444" s="1101"/>
      <c r="D444" s="1101"/>
      <c r="E444" s="1101"/>
      <c r="F444" s="1101"/>
      <c r="G444" s="1101"/>
      <c r="H444" s="1101"/>
      <c r="I444" s="1101"/>
      <c r="J444" s="1101"/>
      <c r="K444" s="1101"/>
      <c r="L444" s="1101"/>
      <c r="M444" s="1101"/>
    </row>
    <row r="445" spans="8:8">
      <c r="B445" s="1101"/>
      <c r="C445" s="1101"/>
      <c r="D445" s="1101"/>
      <c r="E445" s="1101"/>
      <c r="F445" s="1101"/>
      <c r="G445" s="1101"/>
      <c r="H445" s="1101"/>
      <c r="I445" s="1101"/>
      <c r="J445" s="1101"/>
      <c r="K445" s="1101"/>
      <c r="L445" s="1101"/>
      <c r="M445" s="1101"/>
    </row>
    <row r="446" spans="8:8">
      <c r="B446" s="1101"/>
      <c r="C446" s="1101"/>
      <c r="D446" s="1101"/>
      <c r="E446" s="1101"/>
      <c r="F446" s="1101"/>
      <c r="G446" s="1101"/>
      <c r="H446" s="1101"/>
      <c r="I446" s="1101"/>
      <c r="J446" s="1101"/>
      <c r="K446" s="1101"/>
      <c r="L446" s="1101"/>
      <c r="M446" s="1101"/>
    </row>
    <row r="447" spans="8:8">
      <c r="B447" s="1101"/>
      <c r="C447" s="1101"/>
      <c r="D447" s="1101"/>
      <c r="E447" s="1101"/>
      <c r="F447" s="1101"/>
      <c r="G447" s="1101"/>
      <c r="H447" s="1101"/>
      <c r="I447" s="1101"/>
      <c r="J447" s="1101"/>
      <c r="K447" s="1101"/>
      <c r="L447" s="1101"/>
      <c r="M447" s="1101"/>
    </row>
    <row r="448" spans="8:8">
      <c r="B448" s="1101"/>
      <c r="C448" s="1101"/>
      <c r="D448" s="1101"/>
      <c r="E448" s="1101"/>
      <c r="F448" s="1101"/>
      <c r="G448" s="1101"/>
      <c r="H448" s="1101"/>
      <c r="I448" s="1101"/>
      <c r="J448" s="1101"/>
      <c r="K448" s="1101"/>
      <c r="L448" s="1101"/>
      <c r="M448" s="1101"/>
    </row>
    <row r="449" spans="8:8">
      <c r="B449" s="1101"/>
      <c r="C449" s="1101"/>
      <c r="D449" s="1101"/>
      <c r="E449" s="1101"/>
      <c r="F449" s="1101"/>
      <c r="G449" s="1101"/>
      <c r="H449" s="1101"/>
      <c r="I449" s="1101"/>
      <c r="J449" s="1101"/>
      <c r="K449" s="1101"/>
      <c r="L449" s="1101"/>
      <c r="M449" s="1101"/>
    </row>
    <row r="450" spans="8:8">
      <c r="B450" s="1101"/>
      <c r="C450" s="1101"/>
      <c r="D450" s="1101"/>
      <c r="E450" s="1101"/>
      <c r="F450" s="1101"/>
      <c r="G450" s="1101"/>
      <c r="H450" s="1101"/>
      <c r="I450" s="1101"/>
      <c r="J450" s="1101"/>
      <c r="K450" s="1101"/>
      <c r="L450" s="1101"/>
      <c r="M450" s="1101"/>
    </row>
    <row r="451" spans="8:8">
      <c r="B451" s="1101"/>
      <c r="C451" s="1101"/>
      <c r="D451" s="1101"/>
      <c r="E451" s="1101"/>
      <c r="F451" s="1101"/>
      <c r="G451" s="1101"/>
      <c r="H451" s="1101"/>
      <c r="I451" s="1101"/>
      <c r="J451" s="1101"/>
      <c r="K451" s="1101"/>
      <c r="L451" s="1101"/>
      <c r="M451" s="1101"/>
    </row>
    <row r="452" spans="8:8">
      <c r="B452" s="1101"/>
      <c r="C452" s="1101"/>
      <c r="D452" s="1101"/>
      <c r="E452" s="1101"/>
      <c r="F452" s="1101"/>
      <c r="G452" s="1101"/>
      <c r="H452" s="1101"/>
      <c r="I452" s="1101"/>
      <c r="J452" s="1101"/>
      <c r="K452" s="1101"/>
      <c r="L452" s="1101"/>
      <c r="M452" s="1101"/>
    </row>
    <row r="453" spans="8:8">
      <c r="B453" s="1101"/>
      <c r="C453" s="1101"/>
      <c r="D453" s="1101"/>
      <c r="E453" s="1101"/>
      <c r="F453" s="1101"/>
      <c r="G453" s="1101"/>
      <c r="H453" s="1101"/>
      <c r="I453" s="1101"/>
      <c r="J453" s="1101"/>
      <c r="K453" s="1101"/>
      <c r="L453" s="1101"/>
      <c r="M453" s="1101"/>
    </row>
    <row r="454" spans="8:8">
      <c r="B454" s="1101"/>
      <c r="C454" s="1101"/>
      <c r="D454" s="1101"/>
      <c r="E454" s="1101"/>
      <c r="F454" s="1101"/>
      <c r="G454" s="1101"/>
      <c r="H454" s="1101"/>
      <c r="I454" s="1101"/>
      <c r="J454" s="1101"/>
      <c r="K454" s="1101"/>
      <c r="L454" s="1101"/>
      <c r="M454" s="1101"/>
    </row>
    <row r="455" spans="8:8">
      <c r="B455" s="1101"/>
      <c r="C455" s="1101"/>
      <c r="D455" s="1101"/>
      <c r="E455" s="1101"/>
      <c r="F455" s="1101"/>
      <c r="G455" s="1101"/>
      <c r="H455" s="1101"/>
      <c r="I455" s="1101"/>
      <c r="J455" s="1101"/>
      <c r="K455" s="1101"/>
      <c r="L455" s="1101"/>
      <c r="M455" s="1101"/>
    </row>
    <row r="456" spans="8:8">
      <c r="B456" s="1101"/>
      <c r="C456" s="1101"/>
      <c r="D456" s="1101"/>
      <c r="E456" s="1101"/>
      <c r="F456" s="1101"/>
      <c r="G456" s="1101"/>
      <c r="H456" s="1101"/>
      <c r="I456" s="1101"/>
      <c r="J456" s="1101"/>
      <c r="K456" s="1101"/>
      <c r="L456" s="1101"/>
      <c r="M456" s="1101"/>
    </row>
    <row r="457" spans="8:8">
      <c r="B457" s="1101"/>
      <c r="C457" s="1101"/>
      <c r="D457" s="1101"/>
      <c r="E457" s="1101"/>
      <c r="F457" s="1101"/>
      <c r="G457" s="1101"/>
      <c r="H457" s="1101"/>
      <c r="I457" s="1101"/>
      <c r="J457" s="1101"/>
      <c r="K457" s="1101"/>
      <c r="L457" s="1101"/>
      <c r="M457" s="1101"/>
    </row>
    <row r="458" spans="8:8">
      <c r="B458" s="1101"/>
      <c r="C458" s="1101"/>
      <c r="D458" s="1101"/>
      <c r="E458" s="1101"/>
      <c r="F458" s="1101"/>
      <c r="G458" s="1101"/>
      <c r="H458" s="1101"/>
      <c r="I458" s="1101"/>
      <c r="J458" s="1101"/>
      <c r="K458" s="1101"/>
      <c r="L458" s="1101"/>
      <c r="M458" s="1101"/>
    </row>
    <row r="459" spans="8:8">
      <c r="B459" s="1101"/>
      <c r="C459" s="1101"/>
      <c r="D459" s="1101"/>
      <c r="E459" s="1101"/>
      <c r="F459" s="1101"/>
      <c r="G459" s="1101"/>
      <c r="H459" s="1101"/>
      <c r="I459" s="1101"/>
      <c r="J459" s="1101"/>
      <c r="K459" s="1101"/>
      <c r="L459" s="1101"/>
      <c r="M459" s="1101"/>
    </row>
    <row r="460" spans="8:8">
      <c r="B460" s="1101"/>
      <c r="C460" s="1101"/>
      <c r="D460" s="1101"/>
      <c r="E460" s="1101"/>
      <c r="F460" s="1101"/>
      <c r="G460" s="1101"/>
      <c r="H460" s="1101"/>
      <c r="I460" s="1101"/>
      <c r="J460" s="1101"/>
      <c r="K460" s="1101"/>
      <c r="L460" s="1101"/>
      <c r="M460" s="1101"/>
    </row>
    <row r="461" spans="8:8">
      <c r="B461" s="1101"/>
      <c r="C461" s="1101"/>
      <c r="D461" s="1101"/>
      <c r="E461" s="1101"/>
      <c r="F461" s="1101"/>
      <c r="G461" s="1101"/>
      <c r="H461" s="1101"/>
      <c r="I461" s="1101"/>
      <c r="J461" s="1101"/>
      <c r="K461" s="1101"/>
      <c r="L461" s="1101"/>
      <c r="M461" s="1101"/>
    </row>
    <row r="462" spans="8:8">
      <c r="B462" s="1101"/>
      <c r="C462" s="1101"/>
      <c r="D462" s="1101"/>
      <c r="E462" s="1101"/>
      <c r="F462" s="1101"/>
      <c r="G462" s="1101"/>
      <c r="H462" s="1101"/>
      <c r="I462" s="1101"/>
      <c r="J462" s="1101"/>
      <c r="K462" s="1101"/>
      <c r="L462" s="1101"/>
      <c r="M462" s="1101"/>
    </row>
    <row r="463" spans="8:8">
      <c r="B463" s="1101"/>
      <c r="C463" s="1101"/>
      <c r="D463" s="1101"/>
      <c r="E463" s="1101"/>
      <c r="F463" s="1101"/>
      <c r="G463" s="1101"/>
      <c r="H463" s="1101"/>
      <c r="I463" s="1101"/>
      <c r="J463" s="1101"/>
      <c r="K463" s="1101"/>
      <c r="L463" s="1101"/>
      <c r="M463" s="1101"/>
    </row>
    <row r="464" spans="8:8">
      <c r="B464" s="1101"/>
      <c r="C464" s="1101"/>
      <c r="D464" s="1101"/>
      <c r="E464" s="1101"/>
      <c r="F464" s="1101"/>
      <c r="G464" s="1101"/>
      <c r="H464" s="1101"/>
      <c r="I464" s="1101"/>
      <c r="J464" s="1101"/>
      <c r="K464" s="1101"/>
      <c r="L464" s="1101"/>
      <c r="M464" s="1101"/>
    </row>
    <row r="465" spans="8:8">
      <c r="B465" s="1101"/>
      <c r="C465" s="1101"/>
      <c r="D465" s="1101"/>
      <c r="E465" s="1101"/>
      <c r="F465" s="1101"/>
      <c r="G465" s="1101"/>
      <c r="H465" s="1101"/>
      <c r="I465" s="1101"/>
      <c r="J465" s="1101"/>
      <c r="K465" s="1101"/>
      <c r="L465" s="1101"/>
      <c r="M465" s="1101"/>
    </row>
    <row r="466" spans="8:8">
      <c r="B466" s="1101"/>
      <c r="C466" s="1101"/>
      <c r="D466" s="1101"/>
      <c r="E466" s="1101"/>
      <c r="F466" s="1101"/>
      <c r="G466" s="1101"/>
      <c r="H466" s="1101"/>
      <c r="I466" s="1101"/>
      <c r="J466" s="1101"/>
      <c r="K466" s="1101"/>
      <c r="L466" s="1101"/>
      <c r="M466" s="1101"/>
    </row>
    <row r="467" spans="8:8">
      <c r="B467" s="1101"/>
      <c r="C467" s="1101"/>
      <c r="D467" s="1101"/>
      <c r="E467" s="1101"/>
      <c r="F467" s="1101"/>
      <c r="G467" s="1101"/>
      <c r="H467" s="1101"/>
      <c r="I467" s="1101"/>
      <c r="J467" s="1101"/>
      <c r="K467" s="1101"/>
      <c r="L467" s="1101"/>
      <c r="M467" s="1101"/>
    </row>
    <row r="468" spans="8:8">
      <c r="B468" s="1101"/>
      <c r="C468" s="1101"/>
      <c r="D468" s="1101"/>
      <c r="E468" s="1101"/>
      <c r="F468" s="1101"/>
      <c r="G468" s="1101"/>
      <c r="H468" s="1101"/>
      <c r="I468" s="1101"/>
      <c r="J468" s="1101"/>
      <c r="K468" s="1101"/>
      <c r="L468" s="1101"/>
      <c r="M468" s="1101"/>
    </row>
    <row r="469" spans="8:8">
      <c r="B469" s="1101"/>
      <c r="C469" s="1101"/>
      <c r="D469" s="1101"/>
      <c r="E469" s="1101"/>
      <c r="F469" s="1101"/>
      <c r="G469" s="1101"/>
      <c r="H469" s="1101"/>
      <c r="I469" s="1101"/>
      <c r="J469" s="1101"/>
      <c r="K469" s="1101"/>
      <c r="L469" s="1101"/>
      <c r="M469" s="1101"/>
    </row>
    <row r="470" spans="8:8">
      <c r="B470" s="1101"/>
      <c r="C470" s="1101"/>
      <c r="D470" s="1101"/>
      <c r="E470" s="1101"/>
      <c r="F470" s="1101"/>
      <c r="G470" s="1101"/>
      <c r="H470" s="1101"/>
      <c r="I470" s="1101"/>
      <c r="J470" s="1101"/>
      <c r="K470" s="1101"/>
      <c r="L470" s="1101"/>
      <c r="M470" s="1101"/>
    </row>
    <row r="471" spans="8:8">
      <c r="B471" s="1101"/>
      <c r="C471" s="1101"/>
      <c r="D471" s="1101"/>
      <c r="E471" s="1101"/>
      <c r="F471" s="1101"/>
      <c r="G471" s="1101"/>
      <c r="H471" s="1101"/>
      <c r="I471" s="1101"/>
      <c r="J471" s="1101"/>
      <c r="K471" s="1101"/>
      <c r="L471" s="1101"/>
      <c r="M471" s="1101"/>
    </row>
    <row r="472" spans="8:8">
      <c r="B472" s="1101"/>
      <c r="C472" s="1101"/>
      <c r="D472" s="1101"/>
      <c r="E472" s="1101"/>
      <c r="F472" s="1101"/>
      <c r="G472" s="1101"/>
      <c r="H472" s="1101"/>
      <c r="I472" s="1101"/>
      <c r="J472" s="1101"/>
      <c r="K472" s="1101"/>
      <c r="L472" s="1101"/>
      <c r="M472" s="1101"/>
    </row>
    <row r="473" spans="8:8">
      <c r="B473" s="1101"/>
      <c r="C473" s="1101"/>
      <c r="D473" s="1101"/>
      <c r="E473" s="1101"/>
      <c r="F473" s="1101"/>
      <c r="G473" s="1101"/>
      <c r="H473" s="1101"/>
      <c r="I473" s="1101"/>
      <c r="J473" s="1101"/>
      <c r="K473" s="1101"/>
      <c r="L473" s="1101"/>
      <c r="M473" s="1101"/>
    </row>
    <row r="474" spans="8:8">
      <c r="B474" s="1101"/>
      <c r="C474" s="1101"/>
      <c r="D474" s="1101"/>
      <c r="E474" s="1101"/>
      <c r="F474" s="1101"/>
      <c r="G474" s="1101"/>
      <c r="H474" s="1101"/>
      <c r="I474" s="1101"/>
      <c r="J474" s="1101"/>
      <c r="K474" s="1101"/>
      <c r="L474" s="1101"/>
      <c r="M474" s="1101"/>
    </row>
    <row r="475" spans="8:8">
      <c r="B475" s="1101"/>
      <c r="C475" s="1101"/>
      <c r="D475" s="1101"/>
      <c r="E475" s="1101"/>
      <c r="F475" s="1101"/>
      <c r="G475" s="1101"/>
      <c r="H475" s="1101"/>
      <c r="I475" s="1101"/>
      <c r="J475" s="1101"/>
      <c r="K475" s="1101"/>
      <c r="L475" s="1101"/>
      <c r="M475" s="1101"/>
    </row>
    <row r="476" spans="8:8">
      <c r="B476" s="1101"/>
      <c r="C476" s="1101"/>
      <c r="D476" s="1101"/>
      <c r="E476" s="1101"/>
      <c r="F476" s="1101"/>
      <c r="G476" s="1101"/>
      <c r="H476" s="1101"/>
      <c r="I476" s="1101"/>
      <c r="J476" s="1101"/>
      <c r="K476" s="1101"/>
      <c r="L476" s="1101"/>
      <c r="M476" s="1101"/>
    </row>
    <row r="477" spans="8:8">
      <c r="B477" s="1101"/>
      <c r="C477" s="1101"/>
      <c r="D477" s="1101"/>
      <c r="E477" s="1101"/>
      <c r="F477" s="1101"/>
      <c r="G477" s="1101"/>
      <c r="H477" s="1101"/>
      <c r="I477" s="1101"/>
      <c r="J477" s="1101"/>
      <c r="K477" s="1101"/>
      <c r="L477" s="1101"/>
      <c r="M477" s="1101"/>
    </row>
    <row r="478" spans="8:8">
      <c r="B478" s="1101"/>
      <c r="C478" s="1101"/>
      <c r="D478" s="1101"/>
      <c r="E478" s="1101"/>
      <c r="F478" s="1101"/>
      <c r="G478" s="1101"/>
      <c r="H478" s="1101"/>
      <c r="I478" s="1101"/>
      <c r="J478" s="1101"/>
      <c r="K478" s="1101"/>
      <c r="L478" s="1101"/>
      <c r="M478" s="1101"/>
    </row>
    <row r="479" spans="8:8">
      <c r="B479" s="1101"/>
      <c r="C479" s="1101"/>
      <c r="D479" s="1101"/>
      <c r="E479" s="1101"/>
      <c r="F479" s="1101"/>
      <c r="G479" s="1101"/>
      <c r="H479" s="1101"/>
      <c r="I479" s="1101"/>
      <c r="J479" s="1101"/>
      <c r="K479" s="1101"/>
      <c r="L479" s="1101"/>
      <c r="M479" s="1101"/>
    </row>
    <row r="480" spans="8:8">
      <c r="B480" s="1101"/>
      <c r="C480" s="1101"/>
      <c r="D480" s="1101"/>
      <c r="E480" s="1101"/>
      <c r="F480" s="1101"/>
      <c r="G480" s="1101"/>
      <c r="H480" s="1101"/>
      <c r="I480" s="1101"/>
      <c r="J480" s="1101"/>
      <c r="K480" s="1101"/>
      <c r="L480" s="1101"/>
      <c r="M480" s="1101"/>
    </row>
    <row r="481" spans="8:8">
      <c r="B481" s="1101"/>
      <c r="C481" s="1101"/>
      <c r="D481" s="1101"/>
      <c r="E481" s="1101"/>
      <c r="F481" s="1101"/>
      <c r="G481" s="1101"/>
      <c r="H481" s="1101"/>
      <c r="I481" s="1101"/>
      <c r="J481" s="1101"/>
      <c r="K481" s="1101"/>
      <c r="L481" s="1101"/>
      <c r="M481" s="1101"/>
    </row>
    <row r="482" spans="8:8">
      <c r="B482" s="1101"/>
      <c r="C482" s="1101"/>
      <c r="D482" s="1101"/>
      <c r="E482" s="1101"/>
      <c r="F482" s="1101"/>
      <c r="G482" s="1101"/>
      <c r="H482" s="1101"/>
      <c r="I482" s="1101"/>
      <c r="J482" s="1101"/>
      <c r="K482" s="1101"/>
      <c r="L482" s="1101"/>
      <c r="M482" s="1101"/>
    </row>
    <row r="483" spans="8:8">
      <c r="B483" s="1101"/>
      <c r="C483" s="1101"/>
      <c r="D483" s="1101"/>
      <c r="E483" s="1101"/>
      <c r="F483" s="1101"/>
      <c r="G483" s="1101"/>
      <c r="H483" s="1101"/>
      <c r="I483" s="1101"/>
      <c r="J483" s="1101"/>
      <c r="K483" s="1101"/>
      <c r="L483" s="1101"/>
      <c r="M483" s="1101"/>
    </row>
    <row r="484" spans="8:8">
      <c r="B484" s="1101"/>
      <c r="C484" s="1101"/>
      <c r="D484" s="1101"/>
      <c r="E484" s="1101"/>
      <c r="F484" s="1101"/>
      <c r="G484" s="1101"/>
      <c r="H484" s="1101"/>
      <c r="I484" s="1101"/>
      <c r="J484" s="1101"/>
      <c r="K484" s="1101"/>
      <c r="L484" s="1101"/>
      <c r="M484" s="1101"/>
    </row>
    <row r="485" spans="8:8">
      <c r="B485" s="1101"/>
      <c r="C485" s="1101"/>
      <c r="D485" s="1101"/>
      <c r="E485" s="1101"/>
      <c r="F485" s="1101"/>
      <c r="G485" s="1101"/>
      <c r="H485" s="1101"/>
      <c r="I485" s="1101"/>
      <c r="J485" s="1101"/>
      <c r="K485" s="1101"/>
      <c r="L485" s="1101"/>
      <c r="M485" s="1101"/>
    </row>
  </sheetData>
  <mergeCells count="11">
    <mergeCell ref="C13:K13"/>
    <mergeCell ref="C9:K9"/>
    <mergeCell ref="C14:K14"/>
    <mergeCell ref="C15:K15"/>
    <mergeCell ref="C16:K16"/>
    <mergeCell ref="C18:K18"/>
    <mergeCell ref="C20:K20"/>
    <mergeCell ref="C5:J5"/>
    <mergeCell ref="C6:J6"/>
    <mergeCell ref="C7:J7"/>
    <mergeCell ref="C8:J8"/>
  </mergeCells>
  <pageMargins left="0.7" right="0.7" top="0.75" bottom="0.75" header="0.3" footer="0.3"/>
  <pageSetup paperSize="9" scale="80"/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dimension ref="A1:W228"/>
  <sheetViews>
    <sheetView workbookViewId="0" showGridLines="0" zoomScale="80">
      <selection activeCell="A1" sqref="A1"/>
    </sheetView>
  </sheetViews>
  <sheetFormatPr defaultRowHeight="12.75" defaultColWidth="10"/>
  <cols>
    <col min="1" max="1" customWidth="1" width="13.5703125" style="1118"/>
    <col min="2" max="2" customWidth="1" width="11.425781" style="1118"/>
    <col min="3" max="3" customWidth="1" width="12.425781" style="1118"/>
    <col min="4" max="5" customWidth="1" width="12.425781" style="1118"/>
    <col min="6" max="7" customWidth="1" width="12.855469" style="1118"/>
    <col min="8" max="8" customWidth="1" width="21.285156" style="1118"/>
    <col min="9" max="14" customWidth="1" width="12.855469" style="1118"/>
    <col min="15" max="16384" customWidth="0" width="9.140625" style="1118"/>
  </cols>
  <sheetData>
    <row r="1" spans="8:8">
      <c r="A1" s="1118">
        <v>1.0</v>
      </c>
    </row>
    <row r="2" spans="8:8" ht="38.25">
      <c r="A2" s="1119" t="s">
        <v>14</v>
      </c>
      <c r="B2" s="1119" t="s">
        <v>520</v>
      </c>
      <c r="C2" s="1119" t="s">
        <v>15</v>
      </c>
      <c r="D2" s="1119" t="s">
        <v>713</v>
      </c>
      <c r="E2" s="1119" t="s">
        <v>714</v>
      </c>
      <c r="F2" s="1120" t="s">
        <v>16</v>
      </c>
      <c r="G2" s="1121"/>
      <c r="H2" s="1122" t="s">
        <v>13</v>
      </c>
      <c r="I2" s="1123" t="s">
        <v>6</v>
      </c>
      <c r="K2" s="1123" t="s">
        <v>519</v>
      </c>
      <c r="L2" s="1123" t="s">
        <v>518</v>
      </c>
      <c r="Q2" s="1123" t="s">
        <v>42</v>
      </c>
      <c r="R2" s="1123" t="s">
        <v>34</v>
      </c>
      <c r="S2" s="1123" t="s">
        <v>29</v>
      </c>
      <c r="T2" s="1123" t="s">
        <v>567</v>
      </c>
    </row>
    <row r="3" spans="8:8" ht="14.25">
      <c r="A3" s="1124">
        <v>13000.0</v>
      </c>
      <c r="B3" s="1125"/>
      <c r="C3" s="1124">
        <v>13390.0</v>
      </c>
      <c r="D3" s="1124">
        <v>20000.0</v>
      </c>
      <c r="E3" s="1124">
        <v>20600.0</v>
      </c>
      <c r="F3" s="1126">
        <f>Data!E21</f>
        <v>38130.0</v>
      </c>
      <c r="G3" s="1127" t="str">
        <f>Data!J21</f>
        <v>JAN21</v>
      </c>
      <c r="H3" s="1128" t="s">
        <v>11</v>
      </c>
      <c r="I3" s="1118" t="s">
        <v>257</v>
      </c>
      <c r="J3" s="1118">
        <v>1.0</v>
      </c>
      <c r="K3" s="1118" t="s">
        <v>32</v>
      </c>
      <c r="L3" s="1118" t="s">
        <v>251</v>
      </c>
      <c r="M3" s="1118">
        <v>12.0</v>
      </c>
      <c r="N3" s="1118">
        <v>15.0</v>
      </c>
      <c r="O3" s="1118" t="s">
        <v>45</v>
      </c>
      <c r="P3" s="1118" t="s">
        <v>23</v>
      </c>
      <c r="Q3" s="1118">
        <v>20.0</v>
      </c>
      <c r="R3" s="1118">
        <v>75.0</v>
      </c>
      <c r="S3" s="1118">
        <v>0.0</v>
      </c>
      <c r="T3" s="1118">
        <v>200.0</v>
      </c>
    </row>
    <row r="4" spans="8:8" ht="25.5">
      <c r="A4" s="1124">
        <v>13390.0</v>
      </c>
      <c r="B4" s="1124">
        <v>13000.0</v>
      </c>
      <c r="C4" s="1124">
        <v>13780.0</v>
      </c>
      <c r="D4" s="1124">
        <v>20600.0</v>
      </c>
      <c r="E4" s="1124">
        <v>21200.0</v>
      </c>
      <c r="F4" s="1126">
        <f>LOOKUP(F3,A3:A62,C3:C61)</f>
        <v>39160.0</v>
      </c>
      <c r="G4" s="1127" t="str">
        <f>Data!J22</f>
        <v>FEB21</v>
      </c>
      <c r="H4" s="1128" t="s">
        <v>263</v>
      </c>
      <c r="I4" s="1118" t="s">
        <v>261</v>
      </c>
      <c r="J4" s="1118">
        <v>2.0</v>
      </c>
      <c r="K4" s="1118" t="s">
        <v>33</v>
      </c>
      <c r="L4" s="1118" t="s">
        <v>469</v>
      </c>
      <c r="M4" s="1118">
        <v>14.5</v>
      </c>
      <c r="N4" s="1118">
        <v>30.0</v>
      </c>
      <c r="O4" s="1118" t="s">
        <v>514</v>
      </c>
      <c r="P4" s="1118" t="s">
        <v>438</v>
      </c>
      <c r="Q4" s="1118">
        <v>50.0</v>
      </c>
      <c r="R4" s="1118">
        <v>110.0</v>
      </c>
      <c r="S4" s="1118">
        <v>90.0</v>
      </c>
      <c r="T4" s="1118">
        <v>300.0</v>
      </c>
    </row>
    <row r="5" spans="8:8" ht="14.25">
      <c r="A5" s="1124">
        <v>13780.0</v>
      </c>
      <c r="B5" s="1124">
        <v>13390.0</v>
      </c>
      <c r="C5" s="1124">
        <v>14170.0</v>
      </c>
      <c r="D5" s="1124">
        <v>21200.0</v>
      </c>
      <c r="E5" s="1124">
        <v>21800.0</v>
      </c>
      <c r="F5" s="1126">
        <f>LOOKUP(F4,A3:A62,C3:C62)</f>
        <v>40270.0</v>
      </c>
      <c r="G5" s="1127" t="str">
        <f>Data!J23</f>
        <v>MAR21</v>
      </c>
      <c r="H5" s="1128" t="s">
        <v>12</v>
      </c>
      <c r="I5" s="1118" t="s">
        <v>70</v>
      </c>
      <c r="J5" s="1118">
        <v>3.0</v>
      </c>
      <c r="M5" s="1118">
        <v>20.0</v>
      </c>
      <c r="N5" s="1118">
        <v>60.0</v>
      </c>
      <c r="O5" s="1118" t="s">
        <v>515</v>
      </c>
      <c r="P5" s="1118" t="s">
        <v>7</v>
      </c>
      <c r="R5" s="1118">
        <v>150.0</v>
      </c>
      <c r="S5" s="1118">
        <v>120.0</v>
      </c>
      <c r="T5" s="1118">
        <v>500.0</v>
      </c>
    </row>
    <row r="6" spans="8:8" ht="38.25">
      <c r="A6" s="1124">
        <v>14170.0</v>
      </c>
      <c r="B6" s="1124">
        <v>13780.0</v>
      </c>
      <c r="C6" s="1124">
        <v>14600.0</v>
      </c>
      <c r="D6" s="1124">
        <v>21800.0</v>
      </c>
      <c r="E6" s="1124">
        <v>22460.0</v>
      </c>
      <c r="F6" s="1126">
        <f>LOOKUP(F5,A3:A62,C3:C62)</f>
        <v>41380.0</v>
      </c>
      <c r="G6" s="1127" t="str">
        <f>Data!J24</f>
        <v>APR21</v>
      </c>
      <c r="H6" s="1128" t="s">
        <v>270</v>
      </c>
      <c r="I6" s="1118" t="s">
        <v>258</v>
      </c>
      <c r="J6" s="1118">
        <v>4.0</v>
      </c>
      <c r="L6" s="1123" t="s">
        <v>516</v>
      </c>
      <c r="M6" s="1118">
        <v>30.0</v>
      </c>
      <c r="N6" s="1118">
        <v>120.0</v>
      </c>
      <c r="Q6" s="1123" t="s">
        <v>43</v>
      </c>
      <c r="R6" s="1118" t="s">
        <v>534</v>
      </c>
      <c r="S6" s="1118">
        <v>225.0</v>
      </c>
    </row>
    <row r="7" spans="8:8" ht="25.5" customHeight="1">
      <c r="A7" s="1124">
        <v>14600.0</v>
      </c>
      <c r="B7" s="1124">
        <v>14170.0</v>
      </c>
      <c r="C7" s="1124">
        <v>15030.0</v>
      </c>
      <c r="D7" s="1124">
        <v>22460.0</v>
      </c>
      <c r="E7" s="1124">
        <v>23120.0</v>
      </c>
      <c r="F7" s="1129" t="s">
        <v>716</v>
      </c>
      <c r="G7" s="1127" t="str">
        <f>Data!J25</f>
        <v>MAY21</v>
      </c>
      <c r="H7" s="1128" t="s">
        <v>265</v>
      </c>
      <c r="I7" s="1118" t="s">
        <v>260</v>
      </c>
      <c r="J7" s="1118">
        <v>5.0</v>
      </c>
      <c r="L7" s="1118" t="s">
        <v>348</v>
      </c>
      <c r="M7" s="1118">
        <v>8.0</v>
      </c>
      <c r="Q7" s="1118">
        <v>50.0</v>
      </c>
      <c r="S7" s="1118">
        <v>300.0</v>
      </c>
    </row>
    <row r="8" spans="8:8" ht="25.5">
      <c r="A8" s="1124">
        <v>15030.0</v>
      </c>
      <c r="B8" s="1124">
        <v>14600.0</v>
      </c>
      <c r="C8" s="1124">
        <v>15460.0</v>
      </c>
      <c r="D8" s="1124">
        <v>23120.0</v>
      </c>
      <c r="E8" s="1124">
        <v>23780.0</v>
      </c>
      <c r="F8" s="1126">
        <f>Data!H21</f>
        <v>55520.0</v>
      </c>
      <c r="G8" s="1127" t="str">
        <f>Data!J26</f>
        <v>JUN21</v>
      </c>
      <c r="H8" s="1128" t="s">
        <v>264</v>
      </c>
      <c r="I8" s="1118" t="s">
        <v>259</v>
      </c>
      <c r="J8" s="1118">
        <v>6.0</v>
      </c>
      <c r="L8" s="1118" t="s">
        <v>516</v>
      </c>
      <c r="M8" s="1118">
        <v>10.0</v>
      </c>
      <c r="Q8" s="1118">
        <v>100.0</v>
      </c>
    </row>
    <row r="9" spans="8:8" ht="14.25" customHeight="1">
      <c r="A9" s="1124">
        <v>15460.0</v>
      </c>
      <c r="B9" s="1124">
        <v>15030.0</v>
      </c>
      <c r="C9" s="1124">
        <v>15930.0</v>
      </c>
      <c r="D9" s="1124">
        <v>23780.0</v>
      </c>
      <c r="E9" s="1124">
        <v>24500.0</v>
      </c>
      <c r="F9" s="1126">
        <f>LOOKUP(F8,D3:D85,E3:E84)</f>
        <v>57100.0</v>
      </c>
      <c r="G9" s="1127" t="str">
        <f>Data!J27</f>
        <v>JUL21</v>
      </c>
      <c r="H9" s="1128" t="s">
        <v>266</v>
      </c>
      <c r="I9" s="1118" t="s">
        <v>422</v>
      </c>
      <c r="J9" s="1118">
        <v>7.0</v>
      </c>
      <c r="M9" s="1118">
        <v>12.0</v>
      </c>
    </row>
    <row r="10" spans="8:8" ht="14.25" customHeight="1">
      <c r="A10" s="1124">
        <v>15930.0</v>
      </c>
      <c r="B10" s="1124">
        <v>15460.0</v>
      </c>
      <c r="C10" s="1124">
        <v>16400.0</v>
      </c>
      <c r="D10" s="1124">
        <v>24500.0</v>
      </c>
      <c r="E10" s="1124">
        <v>25220.0</v>
      </c>
      <c r="F10" s="1126">
        <f>LOOKUP(F9,D3:D85,E3:E84)</f>
        <v>58680.0</v>
      </c>
      <c r="G10" s="1127" t="str">
        <f>Data!J28</f>
        <v>AUG21</v>
      </c>
      <c r="H10" s="1128" t="s">
        <v>267</v>
      </c>
      <c r="I10" s="1118" t="s">
        <v>22</v>
      </c>
      <c r="J10" s="1118">
        <v>8.0</v>
      </c>
      <c r="M10" s="1118">
        <v>16.0</v>
      </c>
    </row>
    <row r="11" spans="8:8" ht="14.25" customHeight="1">
      <c r="A11" s="1124">
        <v>16400.0</v>
      </c>
      <c r="B11" s="1124">
        <v>15930.0</v>
      </c>
      <c r="C11" s="1124">
        <v>16870.0</v>
      </c>
      <c r="D11" s="1124">
        <v>25220.0</v>
      </c>
      <c r="E11" s="1124">
        <v>25940.0</v>
      </c>
      <c r="F11" s="1126">
        <f>LOOKUP(F10,D3:D85,E3:E84)</f>
        <v>60260.0</v>
      </c>
      <c r="G11" s="1127" t="str">
        <f>Data!J29</f>
        <v>SEP21</v>
      </c>
      <c r="H11" s="1128" t="s">
        <v>268</v>
      </c>
      <c r="J11" s="1118">
        <v>9.0</v>
      </c>
      <c r="L11" s="1123" t="s">
        <v>517</v>
      </c>
      <c r="M11" s="1118">
        <v>24.0</v>
      </c>
    </row>
    <row r="12" spans="8:8" ht="14.25" customHeight="1">
      <c r="A12" s="1124">
        <v>16870.0</v>
      </c>
      <c r="B12" s="1124">
        <v>16400.0</v>
      </c>
      <c r="C12" s="1124">
        <v>17380.0</v>
      </c>
      <c r="D12" s="1124">
        <v>25940.0</v>
      </c>
      <c r="E12" s="1124">
        <v>26720.0</v>
      </c>
      <c r="F12" s="1126"/>
      <c r="G12" s="1127" t="str">
        <f>Data!J30</f>
        <v>OCT21</v>
      </c>
      <c r="H12" s="1128" t="s">
        <v>269</v>
      </c>
      <c r="J12" s="1118">
        <v>10.0</v>
      </c>
      <c r="L12" s="1118" t="s">
        <v>425</v>
      </c>
    </row>
    <row r="13" spans="8:8" ht="38.25">
      <c r="A13" s="1124">
        <v>17380.0</v>
      </c>
      <c r="B13" s="1124">
        <v>16870.0</v>
      </c>
      <c r="C13" s="1124">
        <v>17890.0</v>
      </c>
      <c r="D13" s="1124">
        <v>26720.0</v>
      </c>
      <c r="E13" s="1124">
        <v>27500.0</v>
      </c>
      <c r="F13" s="1126"/>
      <c r="G13" s="1127" t="str">
        <f>Data!J31</f>
        <v>NOV21</v>
      </c>
      <c r="H13" s="1128" t="s">
        <v>271</v>
      </c>
      <c r="J13" s="1118">
        <v>11.0</v>
      </c>
      <c r="L13" s="1118" t="s">
        <v>424</v>
      </c>
    </row>
    <row r="14" spans="8:8" ht="25.5">
      <c r="A14" s="1124">
        <v>17890.0</v>
      </c>
      <c r="B14" s="1124">
        <v>17380.0</v>
      </c>
      <c r="C14" s="1124">
        <v>18400.0</v>
      </c>
      <c r="D14" s="1124">
        <v>27500.0</v>
      </c>
      <c r="E14" s="1124">
        <v>28280.0</v>
      </c>
      <c r="F14" s="1126"/>
      <c r="G14" s="1127" t="str">
        <f>Data!J32</f>
        <v>DEC21</v>
      </c>
      <c r="H14" s="1128" t="s">
        <v>272</v>
      </c>
      <c r="J14" s="1118">
        <v>12.0</v>
      </c>
      <c r="L14" s="1118" t="s">
        <v>521</v>
      </c>
    </row>
    <row r="15" spans="8:8" ht="14.25" customHeight="1">
      <c r="A15" s="1124">
        <v>18400.0</v>
      </c>
      <c r="B15" s="1124">
        <v>17890.0</v>
      </c>
      <c r="C15" s="1124">
        <v>18950.0</v>
      </c>
      <c r="D15" s="1124">
        <v>28280.0</v>
      </c>
      <c r="E15" s="1124">
        <v>29130.0</v>
      </c>
      <c r="F15" s="1126"/>
      <c r="G15" s="1127" t="str">
        <f>Data!J33</f>
        <v>JAN22</v>
      </c>
      <c r="H15" s="1128" t="s">
        <v>273</v>
      </c>
      <c r="J15" s="1118">
        <v>13.0</v>
      </c>
    </row>
    <row r="16" spans="8:8" ht="14.25" customHeight="1">
      <c r="A16" s="1124">
        <v>18950.0</v>
      </c>
      <c r="B16" s="1124">
        <v>18400.0</v>
      </c>
      <c r="C16" s="1124">
        <v>19500.0</v>
      </c>
      <c r="D16" s="1124">
        <v>29130.0</v>
      </c>
      <c r="E16" s="1124">
        <v>29980.0</v>
      </c>
      <c r="F16" s="1126"/>
      <c r="G16" s="1127" t="str">
        <f>Data!J34</f>
        <v>FEB22</v>
      </c>
      <c r="H16" s="1128" t="s">
        <v>274</v>
      </c>
      <c r="J16" s="1118">
        <v>14.0</v>
      </c>
      <c r="L16" s="1118" t="s">
        <v>136</v>
      </c>
    </row>
    <row r="17" spans="8:8" ht="14.25" customHeight="1">
      <c r="A17" s="1124">
        <v>19500.0</v>
      </c>
      <c r="B17" s="1124">
        <v>18950.0</v>
      </c>
      <c r="C17" s="1124">
        <v>20050.0</v>
      </c>
      <c r="D17" s="1124">
        <v>29980.0</v>
      </c>
      <c r="E17" s="1124">
        <v>30830.0</v>
      </c>
      <c r="F17" s="1130"/>
      <c r="G17" s="1130" t="s">
        <v>19</v>
      </c>
      <c r="H17" s="1121" t="s">
        <v>240</v>
      </c>
      <c r="J17" s="1118">
        <v>15.0</v>
      </c>
      <c r="L17" s="1118" t="s">
        <v>522</v>
      </c>
    </row>
    <row r="18" spans="8:8" ht="14.25">
      <c r="A18" s="1124">
        <v>20050.0</v>
      </c>
      <c r="B18" s="1124">
        <v>19500.0</v>
      </c>
      <c r="C18" s="1124">
        <v>20640.0</v>
      </c>
      <c r="D18" s="1124">
        <v>30830.0</v>
      </c>
      <c r="E18" s="1124">
        <v>31750.0</v>
      </c>
      <c r="F18" s="1130"/>
      <c r="G18" s="1121"/>
      <c r="H18" s="1121" t="s">
        <v>241</v>
      </c>
      <c r="J18" s="1118">
        <v>16.0</v>
      </c>
    </row>
    <row r="19" spans="8:8" ht="14.25">
      <c r="A19" s="1124">
        <v>20640.0</v>
      </c>
      <c r="B19" s="1124">
        <v>20050.0</v>
      </c>
      <c r="C19" s="1124">
        <v>21230.0</v>
      </c>
      <c r="D19" s="1124">
        <v>31750.0</v>
      </c>
      <c r="E19" s="1124">
        <v>32670.0</v>
      </c>
      <c r="F19" s="1130"/>
      <c r="G19" s="1121"/>
      <c r="H19" s="1121" t="s">
        <v>242</v>
      </c>
      <c r="J19" s="1118">
        <v>17.0</v>
      </c>
      <c r="L19" s="1118" t="s">
        <v>28</v>
      </c>
    </row>
    <row r="20" spans="8:8" ht="14.25" customHeight="1">
      <c r="A20" s="1124">
        <v>21230.0</v>
      </c>
      <c r="B20" s="1124">
        <v>20640.0</v>
      </c>
      <c r="C20" s="1124">
        <v>21820.0</v>
      </c>
      <c r="D20" s="1124">
        <v>32670.0</v>
      </c>
      <c r="E20" s="1124">
        <v>33590.0</v>
      </c>
      <c r="F20" s="1130"/>
      <c r="G20" s="1121"/>
      <c r="H20" s="1121" t="s">
        <v>243</v>
      </c>
      <c r="J20" s="1118">
        <v>18.0</v>
      </c>
      <c r="L20" s="1118" t="s">
        <v>523</v>
      </c>
    </row>
    <row r="21" spans="8:8" ht="14.25">
      <c r="A21" s="1124">
        <v>21820.0</v>
      </c>
      <c r="B21" s="1124">
        <v>21230.0</v>
      </c>
      <c r="C21" s="1124">
        <v>22460.0</v>
      </c>
      <c r="D21" s="1124">
        <v>33590.0</v>
      </c>
      <c r="E21" s="1124">
        <v>34580.0</v>
      </c>
      <c r="F21" s="1130"/>
      <c r="G21" s="1121"/>
      <c r="H21" s="1121" t="s">
        <v>244</v>
      </c>
      <c r="J21" s="1118">
        <v>19.0</v>
      </c>
      <c r="L21" s="1118" t="s">
        <v>524</v>
      </c>
    </row>
    <row r="22" spans="8:8" ht="14.25">
      <c r="A22" s="1124">
        <v>22460.0</v>
      </c>
      <c r="B22" s="1124">
        <v>21820.0</v>
      </c>
      <c r="C22" s="1124">
        <v>23100.0</v>
      </c>
      <c r="D22" s="1124">
        <v>34580.0</v>
      </c>
      <c r="E22" s="1124">
        <v>35570.0</v>
      </c>
      <c r="F22" s="1130"/>
      <c r="G22" s="1121"/>
      <c r="H22" s="1128" t="s">
        <v>285</v>
      </c>
      <c r="J22" s="1118">
        <v>20.0</v>
      </c>
    </row>
    <row r="23" spans="8:8" ht="14.25">
      <c r="A23" s="1124">
        <v>23100.0</v>
      </c>
      <c r="B23" s="1124">
        <v>22460.0</v>
      </c>
      <c r="C23" s="1124">
        <v>23740.0</v>
      </c>
      <c r="D23" s="1124">
        <v>35570.0</v>
      </c>
      <c r="E23" s="1124">
        <v>36560.0</v>
      </c>
      <c r="F23" s="1130"/>
      <c r="G23" s="1121"/>
      <c r="H23" s="1121"/>
      <c r="J23" s="1118">
        <v>21.0</v>
      </c>
      <c r="L23" s="1118" t="s">
        <v>28</v>
      </c>
    </row>
    <row r="24" spans="8:8" ht="14.25">
      <c r="A24" s="1124">
        <v>23740.0</v>
      </c>
      <c r="B24" s="1124">
        <v>23100.0</v>
      </c>
      <c r="C24" s="1124">
        <v>24440.0</v>
      </c>
      <c r="D24" s="1124">
        <v>36560.0</v>
      </c>
      <c r="E24" s="1124">
        <v>37640.0</v>
      </c>
      <c r="F24" s="1130"/>
      <c r="G24" s="1121"/>
      <c r="H24" s="1121"/>
      <c r="J24" s="1118">
        <v>22.0</v>
      </c>
      <c r="L24" s="1118" t="s">
        <v>525</v>
      </c>
    </row>
    <row r="25" spans="8:8" ht="14.25">
      <c r="A25" s="1124">
        <v>24440.0</v>
      </c>
      <c r="B25" s="1124">
        <v>23740.0</v>
      </c>
      <c r="C25" s="1124">
        <v>25140.0</v>
      </c>
      <c r="D25" s="1124">
        <v>37640.0</v>
      </c>
      <c r="E25" s="1124">
        <v>38720.0</v>
      </c>
      <c r="F25" s="1130"/>
      <c r="G25" s="1121"/>
      <c r="H25" s="1121"/>
      <c r="J25" s="1118">
        <v>23.0</v>
      </c>
      <c r="L25" s="1118" t="s">
        <v>526</v>
      </c>
    </row>
    <row r="26" spans="8:8" ht="14.25">
      <c r="A26" s="1124">
        <v>25140.0</v>
      </c>
      <c r="B26" s="1124">
        <v>24440.0</v>
      </c>
      <c r="C26" s="1124">
        <v>25840.0</v>
      </c>
      <c r="D26" s="1124">
        <v>38720.0</v>
      </c>
      <c r="E26" s="1124">
        <v>39800.0</v>
      </c>
      <c r="F26" s="1130"/>
      <c r="G26" s="1121"/>
      <c r="H26" s="1121"/>
      <c r="J26" s="1118">
        <v>24.0</v>
      </c>
      <c r="L26" s="1118" t="s">
        <v>136</v>
      </c>
    </row>
    <row r="27" spans="8:8" ht="14.25">
      <c r="A27" s="1124">
        <v>25840.0</v>
      </c>
      <c r="B27" s="1124">
        <v>25140.0</v>
      </c>
      <c r="C27" s="1124">
        <v>26600.0</v>
      </c>
      <c r="D27" s="1124">
        <v>39800.0</v>
      </c>
      <c r="E27" s="1124">
        <v>40970.0</v>
      </c>
      <c r="F27" s="1130"/>
      <c r="G27" s="1121"/>
      <c r="H27" s="1121"/>
      <c r="J27" s="1118">
        <v>25.0</v>
      </c>
    </row>
    <row r="28" spans="8:8" ht="14.25">
      <c r="A28" s="1124">
        <v>26600.0</v>
      </c>
      <c r="B28" s="1124">
        <v>25840.0</v>
      </c>
      <c r="C28" s="1124">
        <v>27360.0</v>
      </c>
      <c r="D28" s="1124">
        <v>40970.0</v>
      </c>
      <c r="E28" s="1124">
        <v>42140.0</v>
      </c>
      <c r="F28" s="1130"/>
      <c r="G28" s="1121"/>
      <c r="H28" s="1121"/>
      <c r="J28" s="1118">
        <v>26.0</v>
      </c>
      <c r="L28" s="1118" t="s">
        <v>527</v>
      </c>
    </row>
    <row r="29" spans="8:8" ht="14.25">
      <c r="A29" s="1124">
        <v>27360.0</v>
      </c>
      <c r="B29" s="1124">
        <v>26600.0</v>
      </c>
      <c r="C29" s="1124">
        <v>28120.0</v>
      </c>
      <c r="D29" s="1124">
        <v>42140.0</v>
      </c>
      <c r="E29" s="1124">
        <v>43310.0</v>
      </c>
      <c r="F29" s="1130"/>
      <c r="G29" s="1121"/>
      <c r="H29" s="1121"/>
      <c r="J29" s="1118">
        <v>27.0</v>
      </c>
      <c r="L29" s="1118" t="s">
        <v>345</v>
      </c>
    </row>
    <row r="30" spans="8:8" ht="14.25">
      <c r="A30" s="1124">
        <v>28120.0</v>
      </c>
      <c r="B30" s="1124">
        <v>27360.0</v>
      </c>
      <c r="C30" s="1124">
        <v>28940.0</v>
      </c>
      <c r="D30" s="1124">
        <v>43310.0</v>
      </c>
      <c r="E30" s="1124">
        <v>44570.0</v>
      </c>
      <c r="F30" s="1130"/>
      <c r="G30" s="1121"/>
      <c r="H30" s="1121"/>
      <c r="J30" s="1118">
        <v>28.0</v>
      </c>
    </row>
    <row r="31" spans="8:8" ht="14.25">
      <c r="A31" s="1124">
        <v>28940.0</v>
      </c>
      <c r="B31" s="1124">
        <v>28120.0</v>
      </c>
      <c r="C31" s="1124">
        <v>29760.0</v>
      </c>
      <c r="D31" s="1124">
        <v>44570.0</v>
      </c>
      <c r="E31" s="1124">
        <v>45830.0</v>
      </c>
      <c r="F31" s="1130"/>
      <c r="G31" s="1121"/>
      <c r="H31" s="1121"/>
      <c r="J31" s="1118">
        <v>29.0</v>
      </c>
    </row>
    <row r="32" spans="8:8" ht="14.25">
      <c r="A32" s="1124">
        <v>29760.0</v>
      </c>
      <c r="B32" s="1124">
        <v>28940.0</v>
      </c>
      <c r="C32" s="1124">
        <v>30580.0</v>
      </c>
      <c r="D32" s="1124">
        <v>45830.0</v>
      </c>
      <c r="E32" s="1124">
        <v>47090.0</v>
      </c>
      <c r="F32" s="1130"/>
      <c r="G32" s="1121"/>
      <c r="H32" s="1121"/>
      <c r="J32" s="1118">
        <v>30.0</v>
      </c>
    </row>
    <row r="33" spans="8:8" ht="14.25">
      <c r="A33" s="1124">
        <v>30580.0</v>
      </c>
      <c r="B33" s="1124">
        <v>29760.0</v>
      </c>
      <c r="C33" s="1124">
        <v>31460.0</v>
      </c>
      <c r="D33" s="1124">
        <v>47090.0</v>
      </c>
      <c r="E33" s="1124">
        <v>48440.0</v>
      </c>
      <c r="F33" s="1130"/>
      <c r="G33" s="1121"/>
      <c r="H33" s="1121"/>
      <c r="J33" s="1118">
        <v>31.0</v>
      </c>
    </row>
    <row r="34" spans="8:8" ht="14.25">
      <c r="A34" s="1124">
        <v>31460.0</v>
      </c>
      <c r="B34" s="1124">
        <v>30580.0</v>
      </c>
      <c r="C34" s="1124">
        <v>32340.0</v>
      </c>
      <c r="D34" s="1124">
        <v>48440.0</v>
      </c>
      <c r="E34" s="1124">
        <v>49790.0</v>
      </c>
      <c r="F34" s="1130"/>
      <c r="G34" s="1121"/>
      <c r="H34" s="1121"/>
    </row>
    <row r="35" spans="8:8" ht="14.25">
      <c r="A35" s="1124">
        <v>32340.0</v>
      </c>
      <c r="B35" s="1124">
        <v>31460.0</v>
      </c>
      <c r="C35" s="1124">
        <v>33220.0</v>
      </c>
      <c r="D35" s="1124">
        <v>49790.0</v>
      </c>
      <c r="E35" s="1124">
        <v>51140.0</v>
      </c>
      <c r="F35" s="1130"/>
      <c r="G35" s="1121"/>
      <c r="H35" s="1121"/>
    </row>
    <row r="36" spans="8:8" ht="14.25">
      <c r="A36" s="1124">
        <v>33220.0</v>
      </c>
      <c r="B36" s="1124">
        <v>32340.0</v>
      </c>
      <c r="C36" s="1124">
        <v>34170.0</v>
      </c>
      <c r="D36" s="1124">
        <v>51140.0</v>
      </c>
      <c r="E36" s="1124">
        <v>52600.0</v>
      </c>
      <c r="F36" s="1130"/>
      <c r="G36" s="1121"/>
      <c r="H36" s="1121"/>
    </row>
    <row r="37" spans="8:8" ht="14.25">
      <c r="A37" s="1124">
        <v>34170.0</v>
      </c>
      <c r="B37" s="1124">
        <v>33220.0</v>
      </c>
      <c r="C37" s="1124">
        <v>35120.0</v>
      </c>
      <c r="D37" s="1124">
        <v>52600.0</v>
      </c>
      <c r="E37" s="1124">
        <v>54060.0</v>
      </c>
      <c r="F37" s="1130"/>
      <c r="G37" s="1121"/>
      <c r="H37" s="1121"/>
    </row>
    <row r="38" spans="8:8" ht="14.25">
      <c r="A38" s="1124">
        <v>35120.0</v>
      </c>
      <c r="B38" s="1124">
        <v>34170.0</v>
      </c>
      <c r="C38" s="1124">
        <v>36070.0</v>
      </c>
      <c r="D38" s="1124">
        <v>54060.0</v>
      </c>
      <c r="E38" s="1124">
        <v>55520.0</v>
      </c>
      <c r="F38" s="1130"/>
      <c r="G38" s="1121"/>
      <c r="H38" s="1121"/>
    </row>
    <row r="39" spans="8:8" ht="14.25">
      <c r="A39" s="1124">
        <v>36070.0</v>
      </c>
      <c r="B39" s="1124">
        <v>35120.0</v>
      </c>
      <c r="C39" s="1124">
        <v>37100.0</v>
      </c>
      <c r="D39" s="1124">
        <v>55520.0</v>
      </c>
      <c r="E39" s="1124">
        <v>57100.0</v>
      </c>
      <c r="F39" s="1130"/>
      <c r="G39" s="1121"/>
      <c r="H39" s="1121"/>
    </row>
    <row r="40" spans="8:8" ht="14.25">
      <c r="A40" s="1124">
        <v>37100.0</v>
      </c>
      <c r="B40" s="1124">
        <v>36070.0</v>
      </c>
      <c r="C40" s="1124">
        <v>38130.0</v>
      </c>
      <c r="D40" s="1124">
        <v>57100.0</v>
      </c>
      <c r="E40" s="1124">
        <v>58680.0</v>
      </c>
      <c r="F40" s="1130"/>
      <c r="G40" s="1121"/>
      <c r="H40" s="1121"/>
    </row>
    <row r="41" spans="8:8" ht="14.25">
      <c r="A41" s="1124">
        <v>38130.0</v>
      </c>
      <c r="B41" s="1124">
        <v>37100.0</v>
      </c>
      <c r="C41" s="1124">
        <v>39160.0</v>
      </c>
      <c r="D41" s="1124">
        <v>58680.0</v>
      </c>
      <c r="E41" s="1124">
        <v>60260.0</v>
      </c>
      <c r="F41" s="1130"/>
      <c r="G41" s="1121"/>
      <c r="H41" s="1121"/>
    </row>
    <row r="42" spans="8:8" ht="14.25">
      <c r="A42" s="1124">
        <v>39160.0</v>
      </c>
      <c r="B42" s="1124">
        <v>38130.0</v>
      </c>
      <c r="C42" s="1124">
        <v>40270.0</v>
      </c>
      <c r="D42" s="1124">
        <v>60260.0</v>
      </c>
      <c r="E42" s="1124">
        <v>61960.0</v>
      </c>
      <c r="F42" s="1130"/>
      <c r="G42" s="1121"/>
      <c r="H42" s="1121"/>
    </row>
    <row r="43" spans="8:8" ht="14.25">
      <c r="A43" s="1124">
        <v>40270.0</v>
      </c>
      <c r="B43" s="1124">
        <v>39160.0</v>
      </c>
      <c r="C43" s="1124">
        <v>41380.0</v>
      </c>
      <c r="D43" s="1124">
        <v>61960.0</v>
      </c>
      <c r="E43" s="1131">
        <v>63660.0</v>
      </c>
      <c r="F43" s="1130"/>
      <c r="G43" s="1121"/>
      <c r="H43" s="1121"/>
    </row>
    <row r="44" spans="8:8" ht="14.25">
      <c r="A44" s="1124">
        <v>41380.0</v>
      </c>
      <c r="B44" s="1124">
        <v>40270.0</v>
      </c>
      <c r="C44" s="1124">
        <v>42490.0</v>
      </c>
      <c r="D44" s="1131">
        <v>63660.0</v>
      </c>
      <c r="E44" s="1131">
        <v>65360.0</v>
      </c>
      <c r="F44" s="1130"/>
      <c r="G44" s="1121"/>
      <c r="H44" s="1121"/>
    </row>
    <row r="45" spans="8:8" ht="14.25">
      <c r="A45" s="1124">
        <v>42490.0</v>
      </c>
      <c r="B45" s="1124">
        <v>41380.0</v>
      </c>
      <c r="C45" s="1124">
        <v>43680.0</v>
      </c>
      <c r="D45" s="1131">
        <v>65360.0</v>
      </c>
      <c r="E45" s="1131">
        <v>67190.0</v>
      </c>
      <c r="F45" s="1130"/>
      <c r="G45" s="1121"/>
      <c r="H45" s="1121"/>
    </row>
    <row r="46" spans="8:8" ht="14.25">
      <c r="A46" s="1124">
        <v>43680.0</v>
      </c>
      <c r="B46" s="1124">
        <v>42490.0</v>
      </c>
      <c r="C46" s="1124">
        <v>44870.0</v>
      </c>
      <c r="D46" s="1131">
        <v>67190.0</v>
      </c>
      <c r="E46" s="1131">
        <v>69020.0</v>
      </c>
      <c r="F46" s="1130"/>
      <c r="G46" s="1121"/>
      <c r="H46" s="1121"/>
    </row>
    <row r="47" spans="8:8" ht="14.25">
      <c r="A47" s="1124">
        <v>44870.0</v>
      </c>
      <c r="B47" s="1124">
        <v>43680.0</v>
      </c>
      <c r="C47" s="1124">
        <v>46060.0</v>
      </c>
      <c r="D47" s="1131">
        <v>69020.0</v>
      </c>
      <c r="E47" s="1131">
        <v>70850.0</v>
      </c>
      <c r="F47" s="1130"/>
      <c r="G47" s="1121"/>
      <c r="H47" s="1121"/>
    </row>
    <row r="48" spans="8:8" ht="14.25">
      <c r="A48" s="1124">
        <v>46060.0</v>
      </c>
      <c r="B48" s="1124">
        <v>44870.0</v>
      </c>
      <c r="C48" s="1124">
        <v>47330.0</v>
      </c>
      <c r="D48" s="1131">
        <v>70850.0</v>
      </c>
      <c r="E48" s="1131">
        <v>72810.0</v>
      </c>
      <c r="F48" s="1130"/>
      <c r="G48" s="1121"/>
      <c r="H48" s="1121"/>
    </row>
    <row r="49" spans="8:8" ht="14.25">
      <c r="A49" s="1124">
        <v>47330.0</v>
      </c>
      <c r="B49" s="1124">
        <v>46060.0</v>
      </c>
      <c r="C49" s="1124">
        <v>48600.0</v>
      </c>
      <c r="D49" s="1131">
        <v>72810.0</v>
      </c>
      <c r="E49" s="1131">
        <v>74770.0</v>
      </c>
      <c r="F49" s="1130"/>
      <c r="G49" s="1121"/>
      <c r="H49" s="1121"/>
    </row>
    <row r="50" spans="8:8" ht="14.25">
      <c r="A50" s="1124">
        <v>48600.0</v>
      </c>
      <c r="B50" s="1124">
        <v>47330.0</v>
      </c>
      <c r="C50" s="1124">
        <v>49870.0</v>
      </c>
      <c r="D50" s="1131">
        <v>74770.0</v>
      </c>
      <c r="E50" s="1131">
        <v>76730.0</v>
      </c>
      <c r="F50" s="1130"/>
      <c r="G50" s="1121"/>
      <c r="H50" s="1121"/>
    </row>
    <row r="51" spans="8:8" ht="14.25">
      <c r="A51" s="1124">
        <v>49870.0</v>
      </c>
      <c r="B51" s="1124">
        <v>48600.0</v>
      </c>
      <c r="C51" s="1124">
        <v>51230.0</v>
      </c>
      <c r="D51" s="1131">
        <v>76730.0</v>
      </c>
      <c r="E51" s="1131">
        <v>78820.0</v>
      </c>
      <c r="F51" s="1130"/>
      <c r="G51" s="1121"/>
      <c r="H51" s="1121"/>
    </row>
    <row r="52" spans="8:8" ht="14.25">
      <c r="A52" s="1124">
        <v>51230.0</v>
      </c>
      <c r="B52" s="1124">
        <v>49870.0</v>
      </c>
      <c r="C52" s="1124">
        <v>52590.0</v>
      </c>
      <c r="D52" s="1131">
        <v>78820.0</v>
      </c>
      <c r="E52" s="1131">
        <v>80910.0</v>
      </c>
      <c r="F52" s="1130"/>
      <c r="G52" s="1121"/>
      <c r="H52" s="1121"/>
    </row>
    <row r="53" spans="8:8" ht="14.25">
      <c r="A53" s="1124">
        <v>52590.0</v>
      </c>
      <c r="B53" s="1124">
        <v>51230.0</v>
      </c>
      <c r="C53" s="1124">
        <v>53950.0</v>
      </c>
      <c r="D53" s="1131">
        <v>80910.0</v>
      </c>
      <c r="E53" s="1131">
        <v>83000.0</v>
      </c>
      <c r="F53" s="1130"/>
      <c r="G53" s="1121"/>
      <c r="H53" s="1121"/>
    </row>
    <row r="54" spans="8:8" ht="14.25">
      <c r="A54" s="1124">
        <v>53950.0</v>
      </c>
      <c r="B54" s="1124">
        <v>52590.0</v>
      </c>
      <c r="C54" s="1124">
        <v>55410.0</v>
      </c>
      <c r="D54" s="1131">
        <v>83000.0</v>
      </c>
      <c r="E54" s="1131">
        <v>85240.0</v>
      </c>
      <c r="F54" s="1130"/>
      <c r="G54" s="1121"/>
      <c r="H54" s="1121"/>
    </row>
    <row r="55" spans="8:8" ht="14.25">
      <c r="A55" s="1124">
        <v>55410.0</v>
      </c>
      <c r="B55" s="1124">
        <v>53950.0</v>
      </c>
      <c r="C55" s="1124">
        <v>56870.0</v>
      </c>
      <c r="D55" s="1131">
        <v>85240.0</v>
      </c>
      <c r="E55" s="1131">
        <v>87480.0</v>
      </c>
      <c r="F55" s="1130"/>
      <c r="G55" s="1121"/>
      <c r="H55" s="1121"/>
    </row>
    <row r="56" spans="8:8" ht="14.25">
      <c r="A56" s="1124">
        <v>56870.0</v>
      </c>
      <c r="B56" s="1124">
        <v>55410.0</v>
      </c>
      <c r="C56" s="1124">
        <v>58330.0</v>
      </c>
      <c r="D56" s="1131">
        <v>87480.0</v>
      </c>
      <c r="E56" s="1131">
        <v>89720.0</v>
      </c>
      <c r="F56" s="1132"/>
      <c r="G56" s="1121"/>
      <c r="H56" s="1121"/>
    </row>
    <row r="57" spans="8:8" ht="14.25">
      <c r="A57" s="1124">
        <v>58330.0</v>
      </c>
      <c r="B57" s="1124">
        <v>56870.0</v>
      </c>
      <c r="C57" s="1124">
        <v>59890.0</v>
      </c>
      <c r="D57" s="1131">
        <v>89720.0</v>
      </c>
      <c r="E57" s="1131">
        <v>92110.0</v>
      </c>
      <c r="F57" s="1132"/>
      <c r="G57" s="1121"/>
      <c r="H57" s="1121"/>
    </row>
    <row r="58" spans="8:8" ht="14.25">
      <c r="A58" s="1124">
        <v>59890.0</v>
      </c>
      <c r="B58" s="1124">
        <v>58330.0</v>
      </c>
      <c r="C58" s="1124">
        <v>61450.0</v>
      </c>
      <c r="D58" s="1131">
        <v>92110.0</v>
      </c>
      <c r="E58" s="1131">
        <v>94500.0</v>
      </c>
      <c r="F58" s="1132"/>
      <c r="G58" s="1121"/>
      <c r="H58" s="1121"/>
    </row>
    <row r="59" spans="8:8" ht="14.25">
      <c r="A59" s="1124">
        <v>61450.0</v>
      </c>
      <c r="B59" s="1124">
        <v>59890.0</v>
      </c>
      <c r="C59" s="1124">
        <v>63010.0</v>
      </c>
      <c r="D59" s="1131">
        <v>94500.0</v>
      </c>
      <c r="E59" s="1131">
        <v>96890.0</v>
      </c>
      <c r="F59" s="1132"/>
      <c r="G59" s="1121"/>
      <c r="H59" s="1121"/>
    </row>
    <row r="60" spans="8:8" ht="14.25">
      <c r="A60" s="1124">
        <v>63010.0</v>
      </c>
      <c r="B60" s="1124">
        <v>61450.0</v>
      </c>
      <c r="C60" s="1124">
        <v>64670.0</v>
      </c>
      <c r="D60" s="1131">
        <v>96890.0</v>
      </c>
      <c r="E60" s="1131">
        <v>99430.0</v>
      </c>
      <c r="F60" s="1132"/>
      <c r="G60" s="1121"/>
      <c r="H60" s="1121"/>
    </row>
    <row r="61" spans="8:8" ht="14.25">
      <c r="A61" s="1124">
        <v>64670.0</v>
      </c>
      <c r="B61" s="1124">
        <v>63010.0</v>
      </c>
      <c r="C61" s="1124">
        <v>66330.0</v>
      </c>
      <c r="D61" s="1131">
        <v>99430.0</v>
      </c>
      <c r="E61" s="1131">
        <v>101970.0</v>
      </c>
      <c r="F61" s="1132"/>
      <c r="G61" s="1121"/>
      <c r="H61" s="1121"/>
    </row>
    <row r="62" spans="8:8" ht="14.25">
      <c r="A62" s="1124">
        <v>66330.0</v>
      </c>
      <c r="B62" s="1124">
        <v>64670.0</v>
      </c>
      <c r="C62" s="1124">
        <v>67990.0</v>
      </c>
      <c r="D62" s="1131">
        <v>101970.0</v>
      </c>
      <c r="E62" s="1131">
        <v>104510.0</v>
      </c>
      <c r="F62" s="1132"/>
      <c r="G62" s="1121"/>
      <c r="H62" s="1121"/>
    </row>
    <row r="63" spans="8:8" ht="14.25">
      <c r="A63" s="1124">
        <v>67990.0</v>
      </c>
      <c r="B63" s="1124">
        <v>66330.0</v>
      </c>
      <c r="C63" s="1124">
        <v>69750.0</v>
      </c>
      <c r="D63" s="1131">
        <v>104510.0</v>
      </c>
      <c r="E63" s="1131">
        <v>107210.0</v>
      </c>
    </row>
    <row r="64" spans="8:8" ht="14.25">
      <c r="A64" s="1124">
        <v>69750.0</v>
      </c>
      <c r="B64" s="1124">
        <v>67990.0</v>
      </c>
      <c r="C64" s="1124">
        <v>71510.0</v>
      </c>
      <c r="D64" s="1131">
        <v>107210.0</v>
      </c>
      <c r="E64" s="1131">
        <v>109910.0</v>
      </c>
    </row>
    <row r="65" spans="8:8" ht="14.25">
      <c r="A65" s="1124">
        <v>71510.0</v>
      </c>
      <c r="B65" s="1124">
        <v>69750.0</v>
      </c>
      <c r="C65" s="1124">
        <v>73270.0</v>
      </c>
      <c r="D65" s="1131">
        <v>109910.0</v>
      </c>
      <c r="E65" s="1131">
        <v>112610.0</v>
      </c>
    </row>
    <row r="66" spans="8:8" ht="14.25">
      <c r="A66" s="1124">
        <v>73270.0</v>
      </c>
      <c r="B66" s="1124">
        <v>71510.0</v>
      </c>
      <c r="C66" s="1124">
        <v>75150.0</v>
      </c>
      <c r="D66" s="1131">
        <v>112610.0</v>
      </c>
      <c r="E66" s="1131">
        <v>115500.0</v>
      </c>
    </row>
    <row r="67" spans="8:8" ht="14.25">
      <c r="A67" s="1124">
        <v>75150.0</v>
      </c>
      <c r="B67" s="1124">
        <v>73270.0</v>
      </c>
      <c r="C67" s="1124">
        <v>77030.0</v>
      </c>
      <c r="D67" s="1131">
        <v>115500.0</v>
      </c>
      <c r="E67" s="1131">
        <v>118390.0</v>
      </c>
    </row>
    <row r="68" spans="8:8" ht="14.25">
      <c r="A68" s="1124">
        <v>77030.0</v>
      </c>
      <c r="B68" s="1124">
        <v>75150.0</v>
      </c>
      <c r="C68" s="1124">
        <v>78910.0</v>
      </c>
      <c r="D68" s="1131">
        <v>118390.0</v>
      </c>
      <c r="E68" s="1131">
        <v>121280.0</v>
      </c>
    </row>
    <row r="69" spans="8:8" ht="14.25">
      <c r="A69" s="1124">
        <v>78910.0</v>
      </c>
      <c r="B69" s="1124">
        <v>77030.0</v>
      </c>
      <c r="C69" s="1124">
        <v>80930.0</v>
      </c>
      <c r="D69" s="1131">
        <v>121280.0</v>
      </c>
      <c r="E69" s="1131">
        <v>124380.0</v>
      </c>
    </row>
    <row r="70" spans="8:8" ht="14.25">
      <c r="A70" s="1124">
        <v>80930.0</v>
      </c>
      <c r="B70" s="1124">
        <v>78910.0</v>
      </c>
      <c r="C70" s="1124">
        <v>82950.0</v>
      </c>
      <c r="D70" s="1131">
        <v>124380.0</v>
      </c>
      <c r="E70" s="1131">
        <v>127480.0</v>
      </c>
    </row>
    <row r="71" spans="8:8" ht="14.25">
      <c r="A71" s="1124">
        <v>82950.0</v>
      </c>
      <c r="B71" s="1124">
        <v>80930.0</v>
      </c>
      <c r="C71" s="1124">
        <v>84970.0</v>
      </c>
      <c r="D71" s="1131">
        <v>127480.0</v>
      </c>
      <c r="E71" s="1131">
        <v>130580.0</v>
      </c>
    </row>
    <row r="72" spans="8:8" ht="14.25">
      <c r="A72" s="1124">
        <v>84970.0</v>
      </c>
      <c r="B72" s="1124">
        <v>82950.0</v>
      </c>
      <c r="C72" s="1124">
        <v>87130.0</v>
      </c>
      <c r="D72" s="1131">
        <v>130580.0</v>
      </c>
      <c r="E72" s="1131">
        <v>133900.0</v>
      </c>
    </row>
    <row r="73" spans="8:8" ht="14.25">
      <c r="A73" s="1124">
        <v>87130.0</v>
      </c>
      <c r="B73" s="1124">
        <v>84970.0</v>
      </c>
      <c r="C73" s="1124">
        <v>89290.0</v>
      </c>
      <c r="D73" s="1131">
        <v>133900.0</v>
      </c>
      <c r="E73" s="1131">
        <v>137220.0</v>
      </c>
    </row>
    <row r="74" spans="8:8" ht="14.25">
      <c r="A74" s="1124">
        <v>89290.0</v>
      </c>
      <c r="B74" s="1124">
        <v>87130.0</v>
      </c>
      <c r="C74" s="1124">
        <v>91450.0</v>
      </c>
      <c r="D74" s="1131">
        <v>137220.0</v>
      </c>
      <c r="E74" s="1131">
        <v>140540.0</v>
      </c>
    </row>
    <row r="75" spans="8:8" ht="14.25">
      <c r="A75" s="1124">
        <v>91450.0</v>
      </c>
      <c r="B75" s="1124">
        <v>89290.0</v>
      </c>
      <c r="C75" s="1124">
        <v>93780.0</v>
      </c>
      <c r="D75" s="1131">
        <v>140540.0</v>
      </c>
      <c r="E75" s="1131">
        <v>144150.0</v>
      </c>
    </row>
    <row r="76" spans="8:8" ht="14.25">
      <c r="A76" s="1124">
        <v>93780.0</v>
      </c>
      <c r="B76" s="1124">
        <v>91450.0</v>
      </c>
      <c r="C76" s="1124">
        <v>96110.0</v>
      </c>
      <c r="D76" s="1131">
        <v>144150.0</v>
      </c>
      <c r="E76" s="1131">
        <v>147760.0</v>
      </c>
    </row>
    <row r="77" spans="8:8" ht="14.25">
      <c r="A77" s="1124">
        <v>96110.0</v>
      </c>
      <c r="B77" s="1124">
        <v>93780.0</v>
      </c>
      <c r="C77" s="1124">
        <v>98440.0</v>
      </c>
      <c r="D77" s="1131">
        <v>147760.0</v>
      </c>
      <c r="E77" s="1131">
        <v>151370.0</v>
      </c>
    </row>
    <row r="78" spans="8:8" ht="14.25">
      <c r="A78" s="1124">
        <v>98440.0</v>
      </c>
      <c r="B78" s="1124">
        <v>96110.0</v>
      </c>
      <c r="C78" s="1124">
        <v>100770.0</v>
      </c>
      <c r="D78" s="1131">
        <v>151370.0</v>
      </c>
      <c r="E78" s="1131">
        <v>154980.0</v>
      </c>
    </row>
    <row r="79" spans="8:8" ht="14.25">
      <c r="A79" s="1124">
        <v>100770.0</v>
      </c>
      <c r="B79" s="1124">
        <v>98440.0</v>
      </c>
      <c r="C79" s="1124">
        <v>103290.0</v>
      </c>
      <c r="D79" s="1131">
        <v>154980.0</v>
      </c>
      <c r="E79" s="1131">
        <v>158880.0</v>
      </c>
    </row>
    <row r="80" spans="8:8" ht="14.25">
      <c r="A80" s="1124">
        <v>103290.0</v>
      </c>
      <c r="B80" s="1124">
        <v>100770.0</v>
      </c>
      <c r="C80" s="1124">
        <v>105810.0</v>
      </c>
      <c r="D80" s="1131">
        <v>158880.0</v>
      </c>
      <c r="E80" s="1131">
        <v>162780.0</v>
      </c>
    </row>
    <row r="81" spans="8:8" ht="14.25">
      <c r="A81" s="1124">
        <v>105810.0</v>
      </c>
      <c r="B81" s="1124">
        <v>103290.0</v>
      </c>
      <c r="C81" s="1124">
        <v>108330.0</v>
      </c>
      <c r="D81" s="1131">
        <v>162780.0</v>
      </c>
      <c r="E81" s="1131">
        <v>166680.0</v>
      </c>
    </row>
    <row r="82" spans="8:8" ht="14.25">
      <c r="A82" s="1124">
        <v>108330.0</v>
      </c>
      <c r="B82" s="1124">
        <v>105810.0</v>
      </c>
      <c r="C82" s="1124">
        <v>110850.0</v>
      </c>
      <c r="D82" s="1131">
        <v>166680.0</v>
      </c>
      <c r="E82" s="1131">
        <v>170580.0</v>
      </c>
    </row>
    <row r="83" spans="8:8" ht="14.25">
      <c r="A83" s="1124">
        <v>110850.0</v>
      </c>
      <c r="B83" s="1124">
        <v>108330.0</v>
      </c>
      <c r="D83" s="1131">
        <v>170580.0</v>
      </c>
      <c r="E83" s="1133">
        <v>174790.0</v>
      </c>
    </row>
    <row r="84" spans="8:8" ht="14.25">
      <c r="A84" s="1121"/>
      <c r="B84" s="1124">
        <v>110850.0</v>
      </c>
      <c r="D84" s="1133">
        <v>174790.0</v>
      </c>
      <c r="E84" s="1133">
        <v>179000.0</v>
      </c>
    </row>
    <row r="85" spans="8:8" ht="14.25">
      <c r="A85" s="1121"/>
      <c r="B85" s="1125"/>
      <c r="D85" s="1133">
        <v>179000.0</v>
      </c>
    </row>
    <row r="86" spans="8:8">
      <c r="A86" s="1121"/>
      <c r="B86" s="1125"/>
    </row>
    <row r="87" spans="8:8">
      <c r="A87" s="1121"/>
      <c r="B87" s="1125"/>
    </row>
    <row r="88" spans="8:8">
      <c r="A88" s="1121"/>
      <c r="B88" s="1125"/>
    </row>
    <row r="89" spans="8:8">
      <c r="A89" s="1121"/>
      <c r="B89" s="1125"/>
    </row>
    <row r="90" spans="8:8">
      <c r="A90" s="1121"/>
      <c r="B90" s="1125"/>
    </row>
    <row r="91" spans="8:8">
      <c r="A91" s="1121"/>
      <c r="B91" s="1125"/>
    </row>
    <row r="92" spans="8:8">
      <c r="A92" s="1121"/>
      <c r="B92" s="1125"/>
    </row>
    <row r="93" spans="8:8">
      <c r="A93" s="1121"/>
      <c r="B93" s="1125"/>
    </row>
    <row r="94" spans="8:8">
      <c r="A94" s="1121"/>
      <c r="B94" s="1125"/>
    </row>
    <row r="95" spans="8:8">
      <c r="A95" s="1121"/>
      <c r="B95" s="1125"/>
    </row>
    <row r="96" spans="8:8">
      <c r="A96" s="1121"/>
      <c r="B96" s="1125"/>
    </row>
    <row r="97" spans="8:8">
      <c r="A97" s="1121"/>
      <c r="B97" s="1125"/>
    </row>
    <row r="98" spans="8:8">
      <c r="A98" s="1121"/>
      <c r="B98" s="1125"/>
    </row>
    <row r="99" spans="8:8">
      <c r="A99" s="1121"/>
      <c r="B99" s="1121"/>
    </row>
    <row r="100" spans="8:8">
      <c r="A100" s="1121"/>
      <c r="B100" s="1121"/>
    </row>
    <row r="106" spans="8:8">
      <c r="A106" s="1118" t="s">
        <v>467</v>
      </c>
      <c r="B106" s="1134">
        <f>'House Rent'!U8</f>
        <v>84000.0</v>
      </c>
    </row>
    <row r="107" spans="8:8">
      <c r="A107" s="1118" t="str">
        <f>A106&amp;" inwords"</f>
        <v>Rent inwords</v>
      </c>
      <c r="B107" s="74" t="str">
        <f>IF(B106=0," ",CONCATENATE("Rupees",G116," ",I116," ",K116," ",L116," ",N116," Only"))</f>
        <v>Rupees  Eighty Four Thousand   Only</v>
      </c>
      <c r="C107" s="74"/>
      <c r="D107" s="74"/>
      <c r="E107" s="74"/>
      <c r="F107" s="74"/>
      <c r="G107" s="74"/>
      <c r="H107" s="74"/>
      <c r="I107" s="74"/>
      <c r="J107" s="74"/>
    </row>
    <row r="108" spans="8:8">
      <c r="A108" s="1118" t="s">
        <v>468</v>
      </c>
      <c r="B108" s="1135">
        <f>'FORM16(PAGE2)'!L24</f>
        <v>44056.0</v>
      </c>
    </row>
    <row r="109" spans="8:8">
      <c r="A109" s="1118" t="str">
        <f>A108&amp;" inwords"</f>
        <v>Form 16 back inwords</v>
      </c>
      <c r="B109" s="74" t="str">
        <f>IF(B108=0," ",CONCATENATE("Rupees",G127," ",I127," ",K127," ",L127," ",N127," Only"))</f>
        <v>Rupees  Forty Four Thousand   And Fifty Six Only</v>
      </c>
      <c r="C109" s="74"/>
      <c r="D109" s="74"/>
      <c r="E109" s="74"/>
      <c r="F109" s="74"/>
      <c r="G109" s="74"/>
      <c r="H109" s="74"/>
      <c r="I109" s="74"/>
      <c r="J109" s="74"/>
    </row>
    <row r="110" spans="8:8">
      <c r="F110" s="1118" t="str">
        <f>RIGHT($B$106,9)</f>
        <v>84000</v>
      </c>
      <c r="G110" s="1118" t="str">
        <f>RIGHT($B$106,8)</f>
        <v>84000</v>
      </c>
      <c r="H110" s="1118" t="str">
        <f>RIGHT($B$106,7)</f>
        <v>84000</v>
      </c>
      <c r="I110" s="1118" t="str">
        <f>RIGHT($B$106,6)</f>
        <v>84000</v>
      </c>
      <c r="J110" s="1118" t="str">
        <f>RIGHT($B$106,5)</f>
        <v>84000</v>
      </c>
      <c r="K110" s="1118" t="str">
        <f>RIGHT($B$106,4)</f>
        <v>4000</v>
      </c>
      <c r="L110" s="1118" t="str">
        <f>RIGHT($B$106,3)</f>
        <v>000</v>
      </c>
      <c r="M110" s="1118" t="str">
        <f>RIGHT($B$106,2)</f>
        <v>00</v>
      </c>
      <c r="N110" s="1118" t="str">
        <f>RIGHT($B$106,1)</f>
        <v>0</v>
      </c>
    </row>
    <row r="111" spans="8:8">
      <c r="C111" s="1118" t="s">
        <v>466</v>
      </c>
      <c r="F111" s="1118">
        <f>LEN(F110)</f>
        <v>5.0</v>
      </c>
      <c r="G111" s="1118">
        <f t="shared" si="0" ref="G111:N111">LEN(G110)</f>
        <v>5.0</v>
      </c>
      <c r="H111" s="1118">
        <f t="shared" si="0"/>
        <v>5.0</v>
      </c>
      <c r="I111" s="1118">
        <f t="shared" si="0"/>
        <v>5.0</v>
      </c>
      <c r="J111" s="1118">
        <f t="shared" si="0"/>
        <v>5.0</v>
      </c>
      <c r="K111" s="1118">
        <f t="shared" si="0"/>
        <v>4.0</v>
      </c>
      <c r="L111" s="1118">
        <f t="shared" si="0"/>
        <v>3.0</v>
      </c>
      <c r="M111" s="1118">
        <f t="shared" si="0"/>
        <v>2.0</v>
      </c>
      <c r="N111" s="1118">
        <f t="shared" si="0"/>
        <v>1.0</v>
      </c>
    </row>
    <row r="112" spans="8:8">
      <c r="F112" s="1118" t="str">
        <f>LEFT(F110,1)</f>
        <v>8</v>
      </c>
      <c r="G112" s="1118" t="str">
        <f t="shared" si="1" ref="G112:N112">LEFT(G110,1)</f>
        <v>8</v>
      </c>
      <c r="H112" s="1118" t="str">
        <f t="shared" si="1"/>
        <v>8</v>
      </c>
      <c r="I112" s="1118" t="str">
        <f t="shared" si="1"/>
        <v>8</v>
      </c>
      <c r="J112" s="1118" t="str">
        <f t="shared" si="1"/>
        <v>8</v>
      </c>
      <c r="K112" s="1118" t="str">
        <f t="shared" si="1"/>
        <v>4</v>
      </c>
      <c r="L112" s="1118" t="str">
        <f t="shared" si="1"/>
        <v>0</v>
      </c>
      <c r="M112" s="1118" t="str">
        <f t="shared" si="1"/>
        <v>0</v>
      </c>
      <c r="N112" s="1118" t="str">
        <f t="shared" si="1"/>
        <v>0</v>
      </c>
    </row>
    <row r="113" spans="8:8">
      <c r="F113" s="1118">
        <f>IF(F111=9,F112,0)</f>
        <v>0.0</v>
      </c>
      <c r="G113" s="1118">
        <f>IF(G111=8,G112,0)</f>
        <v>0.0</v>
      </c>
      <c r="H113" s="1118">
        <f>IF(H111=7,H112,0)</f>
        <v>0.0</v>
      </c>
      <c r="I113" s="1118">
        <f>IF(I111=6,I112,0)</f>
        <v>0.0</v>
      </c>
      <c r="J113" s="1118" t="str">
        <f>IF(J111=5,J112,0)</f>
        <v>8</v>
      </c>
      <c r="K113" s="1118" t="str">
        <f>IF(K111=4,K112,0)</f>
        <v>4</v>
      </c>
      <c r="L113" s="1118" t="str">
        <f>IF(L111=3,L112,0)</f>
        <v>0</v>
      </c>
      <c r="M113" s="1118" t="str">
        <f>IF(M111=2,M112,0)</f>
        <v>0</v>
      </c>
      <c r="N113" s="1118" t="str">
        <f>IF(N111=1,N112,0)</f>
        <v>0</v>
      </c>
    </row>
    <row r="114" spans="8:8">
      <c r="G114" s="1118" t="str">
        <f>F113&amp;G113</f>
        <v>00</v>
      </c>
      <c r="I114" s="1118" t="str">
        <f>H113&amp;I113</f>
        <v>00</v>
      </c>
      <c r="K114" s="1118" t="str">
        <f>J113&amp;K113</f>
        <v>84</v>
      </c>
      <c r="L114" s="1118" t="str">
        <f>L113</f>
        <v>0</v>
      </c>
      <c r="N114" s="1118" t="str">
        <f>M113&amp;N113</f>
        <v>00</v>
      </c>
    </row>
    <row r="115" spans="8:8">
      <c r="G115" s="1118">
        <f>VALUE(G114)</f>
        <v>0.0</v>
      </c>
      <c r="I115" s="1118">
        <f>VALUE(I114)</f>
        <v>0.0</v>
      </c>
      <c r="K115" s="1118">
        <f>VALUE(K114)</f>
        <v>84.0</v>
      </c>
      <c r="L115" s="1118">
        <f>VALUE(L114)</f>
        <v>0.0</v>
      </c>
      <c r="N115" s="1118">
        <f>VALUE(N114)</f>
        <v>0.0</v>
      </c>
    </row>
    <row r="116" spans="8:8">
      <c r="G116" s="1118" t="str">
        <f>IF(G115=0,"",VLOOKUP(G115,$C$130:$F$228,2,FALSE)&amp;" Crore")</f>
        <v/>
      </c>
      <c r="I116" s="1118" t="str">
        <f>IF(I115=0,"",VLOOKUP(I115,$C$130:$F$228,2,FALSE)&amp;" Lakh")</f>
        <v/>
      </c>
      <c r="K116" s="1118" t="str">
        <f>IF(K115=0,"",VLOOKUP(K115,C130:F228,4,FALSE)&amp;" Thousand")</f>
        <v>Eighty Four Thousand</v>
      </c>
      <c r="L116" s="1118" t="str">
        <f>IF(L115=0,"",VLOOKUP(L115,$C$130:$F$228,2,FALSE)&amp;" Hundred")</f>
        <v/>
      </c>
      <c r="N116" s="1118" t="str">
        <f>IF(N115=0,""," And "&amp;VLOOKUP(N115,$C$130:$F$228,2,FALSE))</f>
        <v/>
      </c>
    </row>
    <row r="121" spans="8:8">
      <c r="F121" s="1118" t="str">
        <f>RIGHT($B$108,9)</f>
        <v>44056</v>
      </c>
      <c r="G121" s="1118" t="str">
        <f>RIGHT($B$108,8)</f>
        <v>44056</v>
      </c>
      <c r="H121" s="1118" t="str">
        <f>RIGHT($B$108,7)</f>
        <v>44056</v>
      </c>
      <c r="I121" s="1118" t="str">
        <f>RIGHT($B$108,6)</f>
        <v>44056</v>
      </c>
      <c r="J121" s="1118" t="str">
        <f>RIGHT($B$108,5)</f>
        <v>44056</v>
      </c>
      <c r="K121" s="1118" t="str">
        <f>RIGHT($B$108,4)</f>
        <v>4056</v>
      </c>
      <c r="L121" s="1118" t="str">
        <f>RIGHT($B$108,3)</f>
        <v>056</v>
      </c>
      <c r="M121" s="1118" t="str">
        <f>RIGHT($B$108,2)</f>
        <v>56</v>
      </c>
      <c r="N121" s="1118" t="str">
        <f>RIGHT($B$108,1)</f>
        <v>6</v>
      </c>
    </row>
    <row r="122" spans="8:8">
      <c r="C122" s="1118" t="s">
        <v>466</v>
      </c>
      <c r="F122" s="1118">
        <f>LEN(F121)</f>
        <v>5.0</v>
      </c>
      <c r="G122" s="1118">
        <f t="shared" si="2" ref="G122">LEN(G121)</f>
        <v>5.0</v>
      </c>
      <c r="H122" s="1118">
        <f t="shared" si="3" ref="H122">LEN(H121)</f>
        <v>5.0</v>
      </c>
      <c r="I122" s="1118">
        <f t="shared" si="4" ref="I122">LEN(I121)</f>
        <v>5.0</v>
      </c>
      <c r="J122" s="1118">
        <f t="shared" si="5" ref="J122">LEN(J121)</f>
        <v>5.0</v>
      </c>
      <c r="K122" s="1118">
        <f t="shared" si="6" ref="K122">LEN(K121)</f>
        <v>4.0</v>
      </c>
      <c r="L122" s="1118">
        <f t="shared" si="7" ref="L122">LEN(L121)</f>
        <v>3.0</v>
      </c>
      <c r="M122" s="1118">
        <f t="shared" si="8" ref="M122">LEN(M121)</f>
        <v>2.0</v>
      </c>
      <c r="N122" s="1118">
        <f t="shared" si="9" ref="N122">LEN(N121)</f>
        <v>1.0</v>
      </c>
    </row>
    <row r="123" spans="8:8">
      <c r="F123" s="1118" t="str">
        <f>LEFT(F121,1)</f>
        <v>4</v>
      </c>
      <c r="G123" s="1118" t="str">
        <f t="shared" si="10" ref="G123:N123">LEFT(G121,1)</f>
        <v>4</v>
      </c>
      <c r="H123" s="1118" t="str">
        <f t="shared" si="10"/>
        <v>4</v>
      </c>
      <c r="I123" s="1118" t="str">
        <f t="shared" si="10"/>
        <v>4</v>
      </c>
      <c r="J123" s="1118" t="str">
        <f t="shared" si="10"/>
        <v>4</v>
      </c>
      <c r="K123" s="1118" t="str">
        <f t="shared" si="10"/>
        <v>4</v>
      </c>
      <c r="L123" s="1118" t="str">
        <f t="shared" si="10"/>
        <v>0</v>
      </c>
      <c r="M123" s="1118" t="str">
        <f t="shared" si="10"/>
        <v>5</v>
      </c>
      <c r="N123" s="1118" t="str">
        <f t="shared" si="10"/>
        <v>6</v>
      </c>
    </row>
    <row r="124" spans="8:8">
      <c r="F124" s="1118">
        <f>IF(F122=9,F123,0)</f>
        <v>0.0</v>
      </c>
      <c r="G124" s="1118">
        <f>IF(G122=8,G123,0)</f>
        <v>0.0</v>
      </c>
      <c r="H124" s="1118">
        <f>IF(H122=7,H123,0)</f>
        <v>0.0</v>
      </c>
      <c r="I124" s="1118">
        <f>IF(I122=6,I123,0)</f>
        <v>0.0</v>
      </c>
      <c r="J124" s="1118" t="str">
        <f>IF(J122=5,J123,0)</f>
        <v>4</v>
      </c>
      <c r="K124" s="1118" t="str">
        <f>IF(K122=4,K123,0)</f>
        <v>4</v>
      </c>
      <c r="L124" s="1118" t="str">
        <f>IF(L122=3,L123,0)</f>
        <v>0</v>
      </c>
      <c r="M124" s="1118" t="str">
        <f>IF(M122=2,M123,0)</f>
        <v>5</v>
      </c>
      <c r="N124" s="1118" t="str">
        <f>IF(N122=1,N123,0)</f>
        <v>6</v>
      </c>
    </row>
    <row r="125" spans="8:8">
      <c r="G125" s="1118" t="str">
        <f>F124&amp;G124</f>
        <v>00</v>
      </c>
      <c r="I125" s="1118" t="str">
        <f>H124&amp;I124</f>
        <v>00</v>
      </c>
      <c r="K125" s="1118" t="str">
        <f>J124&amp;K124</f>
        <v>44</v>
      </c>
      <c r="L125" s="1118" t="str">
        <f>L124</f>
        <v>0</v>
      </c>
      <c r="N125" s="1118" t="str">
        <f>M124&amp;N124</f>
        <v>56</v>
      </c>
    </row>
    <row r="126" spans="8:8">
      <c r="G126" s="1118">
        <f>VALUE(G125)</f>
        <v>0.0</v>
      </c>
      <c r="I126" s="1118">
        <f>VALUE(I125)</f>
        <v>0.0</v>
      </c>
      <c r="K126" s="1118">
        <f>VALUE(K125)</f>
        <v>44.0</v>
      </c>
      <c r="L126" s="1118">
        <f>VALUE(L125)</f>
        <v>0.0</v>
      </c>
      <c r="N126" s="1118">
        <f>VALUE(N125)</f>
        <v>56.0</v>
      </c>
    </row>
    <row r="127" spans="8:8">
      <c r="G127" s="1118" t="str">
        <f>IF(G126=0,"",VLOOKUP(G126,$C$130:$F$228,2,FALSE)&amp;" Crore")</f>
        <v/>
      </c>
      <c r="I127" s="1118" t="str">
        <f>IF(I126=0,"",VLOOKUP(I126,$C$130:$F$228,2,FALSE)&amp;" Lakh")</f>
        <v/>
      </c>
      <c r="K127" s="1118" t="str">
        <f>IF(K126=0,"",VLOOKUP(K126,$C$130:$F$228,4,FALSE)&amp;" Thousand")</f>
        <v>Forty Four Thousand</v>
      </c>
      <c r="L127" s="1118" t="str">
        <f>IF(L126=0,"",VLOOKUP(L126,$C$130:$F$228,4,FALSE)&amp;" Hundred")</f>
        <v/>
      </c>
      <c r="N127" s="1118" t="str">
        <f>IF(N126=0,""," And "&amp;VLOOKUP(N126,$C$130:$F$228,4,FALSE))</f>
        <v> And Fifty Six</v>
      </c>
    </row>
    <row r="130" spans="8:8">
      <c r="C130" s="1118">
        <v>1.0</v>
      </c>
      <c r="F130" s="1118" t="s">
        <v>439</v>
      </c>
    </row>
    <row r="131" spans="8:8">
      <c r="C131" s="1118">
        <v>2.0</v>
      </c>
      <c r="F131" s="1118" t="s">
        <v>440</v>
      </c>
    </row>
    <row r="132" spans="8:8">
      <c r="C132" s="1118">
        <v>3.0</v>
      </c>
      <c r="F132" s="1118" t="s">
        <v>441</v>
      </c>
    </row>
    <row r="133" spans="8:8">
      <c r="C133" s="1118">
        <v>4.0</v>
      </c>
      <c r="F133" s="1118" t="s">
        <v>442</v>
      </c>
    </row>
    <row r="134" spans="8:8">
      <c r="C134" s="1118">
        <v>5.0</v>
      </c>
      <c r="F134" s="1118" t="s">
        <v>443</v>
      </c>
    </row>
    <row r="135" spans="8:8">
      <c r="C135" s="1118">
        <v>6.0</v>
      </c>
      <c r="F135" s="1118" t="s">
        <v>444</v>
      </c>
    </row>
    <row r="136" spans="8:8">
      <c r="C136" s="1118">
        <v>7.0</v>
      </c>
      <c r="F136" s="1118" t="s">
        <v>445</v>
      </c>
    </row>
    <row r="137" spans="8:8">
      <c r="C137" s="1118">
        <v>8.0</v>
      </c>
      <c r="F137" s="1118" t="s">
        <v>446</v>
      </c>
    </row>
    <row r="138" spans="8:8">
      <c r="C138" s="1118">
        <v>9.0</v>
      </c>
      <c r="F138" s="1118" t="s">
        <v>447</v>
      </c>
    </row>
    <row r="139" spans="8:8">
      <c r="C139" s="1118">
        <v>10.0</v>
      </c>
      <c r="F139" s="1118" t="s">
        <v>448</v>
      </c>
    </row>
    <row r="140" spans="8:8">
      <c r="C140" s="1118">
        <v>11.0</v>
      </c>
      <c r="F140" s="1118" t="s">
        <v>449</v>
      </c>
    </row>
    <row r="141" spans="8:8">
      <c r="C141" s="1118">
        <v>12.0</v>
      </c>
      <c r="F141" s="1118" t="s">
        <v>450</v>
      </c>
    </row>
    <row r="142" spans="8:8">
      <c r="C142" s="1118">
        <v>13.0</v>
      </c>
      <c r="F142" s="1118" t="s">
        <v>451</v>
      </c>
    </row>
    <row r="143" spans="8:8">
      <c r="C143" s="1118">
        <v>14.0</v>
      </c>
      <c r="F143" s="1118" t="s">
        <v>452</v>
      </c>
    </row>
    <row r="144" spans="8:8">
      <c r="C144" s="1118">
        <v>15.0</v>
      </c>
      <c r="F144" s="1118" t="s">
        <v>453</v>
      </c>
    </row>
    <row r="145" spans="8:8">
      <c r="C145" s="1118">
        <v>16.0</v>
      </c>
      <c r="F145" s="1118" t="s">
        <v>454</v>
      </c>
    </row>
    <row r="146" spans="8:8">
      <c r="C146" s="1118">
        <v>17.0</v>
      </c>
      <c r="F146" s="1118" t="s">
        <v>455</v>
      </c>
    </row>
    <row r="147" spans="8:8">
      <c r="C147" s="1118">
        <v>18.0</v>
      </c>
      <c r="F147" s="1118" t="s">
        <v>456</v>
      </c>
    </row>
    <row r="148" spans="8:8">
      <c r="C148" s="1118">
        <v>19.0</v>
      </c>
      <c r="F148" s="1118" t="s">
        <v>457</v>
      </c>
    </row>
    <row r="149" spans="8:8">
      <c r="C149" s="1118">
        <v>20.0</v>
      </c>
      <c r="F149" s="1118" t="s">
        <v>458</v>
      </c>
    </row>
    <row r="150" spans="8:8">
      <c r="C150" s="1118">
        <v>21.0</v>
      </c>
      <c r="F150" s="1118" t="str">
        <f>$F$149&amp;" "&amp;F130</f>
        <v>Twenty One</v>
      </c>
    </row>
    <row r="151" spans="8:8">
      <c r="C151" s="1118">
        <v>22.0</v>
      </c>
      <c r="F151" s="1118" t="str">
        <f t="shared" si="11" ref="F151:F158">$F$149&amp;" "&amp;F131</f>
        <v>Twenty Two</v>
      </c>
    </row>
    <row r="152" spans="8:8">
      <c r="C152" s="1118">
        <v>23.0</v>
      </c>
      <c r="F152" s="1118" t="str">
        <f t="shared" si="11"/>
        <v>Twenty Three</v>
      </c>
    </row>
    <row r="153" spans="8:8">
      <c r="C153" s="1118">
        <v>24.0</v>
      </c>
      <c r="F153" s="1118" t="str">
        <f t="shared" si="11"/>
        <v>Twenty Four</v>
      </c>
    </row>
    <row r="154" spans="8:8">
      <c r="C154" s="1118">
        <v>25.0</v>
      </c>
      <c r="F154" s="1118" t="str">
        <f t="shared" si="11"/>
        <v>Twenty Five</v>
      </c>
    </row>
    <row r="155" spans="8:8">
      <c r="C155" s="1118">
        <v>26.0</v>
      </c>
      <c r="F155" s="1118" t="str">
        <f t="shared" si="11"/>
        <v>Twenty Six</v>
      </c>
    </row>
    <row r="156" spans="8:8">
      <c r="C156" s="1118">
        <v>27.0</v>
      </c>
      <c r="F156" s="1118" t="str">
        <f t="shared" si="11"/>
        <v>Twenty Seven</v>
      </c>
    </row>
    <row r="157" spans="8:8">
      <c r="C157" s="1118">
        <v>28.0</v>
      </c>
      <c r="F157" s="1118" t="str">
        <f t="shared" si="11"/>
        <v>Twenty Eight</v>
      </c>
    </row>
    <row r="158" spans="8:8">
      <c r="C158" s="1118">
        <v>29.0</v>
      </c>
      <c r="F158" s="1118" t="str">
        <f t="shared" si="11"/>
        <v>Twenty Nine</v>
      </c>
    </row>
    <row r="159" spans="8:8">
      <c r="C159" s="1118">
        <v>30.0</v>
      </c>
      <c r="F159" s="1118" t="s">
        <v>459</v>
      </c>
    </row>
    <row r="160" spans="8:8">
      <c r="C160" s="1118">
        <v>31.0</v>
      </c>
      <c r="F160" s="1118" t="str">
        <f>$F$159&amp;" "&amp;F130</f>
        <v>Thirty One</v>
      </c>
    </row>
    <row r="161" spans="8:8">
      <c r="C161" s="1118">
        <v>32.0</v>
      </c>
      <c r="F161" s="1118" t="str">
        <f t="shared" si="12" ref="F161:F168">$F$159&amp;" "&amp;F131</f>
        <v>Thirty Two</v>
      </c>
    </row>
    <row r="162" spans="8:8">
      <c r="C162" s="1118">
        <v>33.0</v>
      </c>
      <c r="F162" s="1118" t="str">
        <f t="shared" si="12"/>
        <v>Thirty Three</v>
      </c>
    </row>
    <row r="163" spans="8:8">
      <c r="C163" s="1118">
        <v>34.0</v>
      </c>
      <c r="F163" s="1118" t="str">
        <f t="shared" si="12"/>
        <v>Thirty Four</v>
      </c>
    </row>
    <row r="164" spans="8:8">
      <c r="C164" s="1118">
        <v>35.0</v>
      </c>
      <c r="F164" s="1118" t="str">
        <f t="shared" si="12"/>
        <v>Thirty Five</v>
      </c>
    </row>
    <row r="165" spans="8:8">
      <c r="C165" s="1118">
        <v>36.0</v>
      </c>
      <c r="F165" s="1118" t="str">
        <f t="shared" si="12"/>
        <v>Thirty Six</v>
      </c>
    </row>
    <row r="166" spans="8:8">
      <c r="C166" s="1118">
        <v>37.0</v>
      </c>
      <c r="F166" s="1118" t="str">
        <f t="shared" si="12"/>
        <v>Thirty Seven</v>
      </c>
    </row>
    <row r="167" spans="8:8">
      <c r="C167" s="1118">
        <v>38.0</v>
      </c>
      <c r="F167" s="1118" t="str">
        <f t="shared" si="12"/>
        <v>Thirty Eight</v>
      </c>
    </row>
    <row r="168" spans="8:8">
      <c r="C168" s="1118">
        <v>39.0</v>
      </c>
      <c r="F168" s="1118" t="str">
        <f t="shared" si="12"/>
        <v>Thirty Nine</v>
      </c>
    </row>
    <row r="169" spans="8:8">
      <c r="C169" s="1118">
        <v>40.0</v>
      </c>
      <c r="F169" s="1118" t="s">
        <v>460</v>
      </c>
    </row>
    <row r="170" spans="8:8">
      <c r="C170" s="1118">
        <v>41.0</v>
      </c>
      <c r="F170" s="1118" t="str">
        <f>$F$169&amp;" "&amp;F130</f>
        <v>Forty One</v>
      </c>
    </row>
    <row r="171" spans="8:8">
      <c r="C171" s="1118">
        <v>42.0</v>
      </c>
      <c r="F171" s="1118" t="str">
        <f t="shared" si="13" ref="F171:F178">$F$169&amp;" "&amp;F131</f>
        <v>Forty Two</v>
      </c>
    </row>
    <row r="172" spans="8:8">
      <c r="C172" s="1118">
        <v>43.0</v>
      </c>
      <c r="F172" s="1118" t="str">
        <f t="shared" si="13"/>
        <v>Forty Three</v>
      </c>
    </row>
    <row r="173" spans="8:8">
      <c r="C173" s="1118">
        <v>44.0</v>
      </c>
      <c r="F173" s="1118" t="str">
        <f t="shared" si="13"/>
        <v>Forty Four</v>
      </c>
    </row>
    <row r="174" spans="8:8">
      <c r="C174" s="1118">
        <v>45.0</v>
      </c>
      <c r="F174" s="1118" t="str">
        <f t="shared" si="13"/>
        <v>Forty Five</v>
      </c>
    </row>
    <row r="175" spans="8:8">
      <c r="C175" s="1118">
        <v>46.0</v>
      </c>
      <c r="F175" s="1118" t="str">
        <f t="shared" si="13"/>
        <v>Forty Six</v>
      </c>
    </row>
    <row r="176" spans="8:8">
      <c r="C176" s="1118">
        <v>47.0</v>
      </c>
      <c r="F176" s="1118" t="str">
        <f t="shared" si="13"/>
        <v>Forty Seven</v>
      </c>
    </row>
    <row r="177" spans="8:8">
      <c r="C177" s="1118">
        <v>48.0</v>
      </c>
      <c r="F177" s="1118" t="str">
        <f t="shared" si="13"/>
        <v>Forty Eight</v>
      </c>
    </row>
    <row r="178" spans="8:8">
      <c r="C178" s="1118">
        <v>49.0</v>
      </c>
      <c r="F178" s="1118" t="str">
        <f t="shared" si="13"/>
        <v>Forty Nine</v>
      </c>
    </row>
    <row r="179" spans="8:8">
      <c r="C179" s="1118">
        <v>50.0</v>
      </c>
      <c r="F179" s="1118" t="s">
        <v>461</v>
      </c>
    </row>
    <row r="180" spans="8:8">
      <c r="C180" s="1118">
        <v>51.0</v>
      </c>
      <c r="F180" s="1118" t="str">
        <f>$F$179&amp;" "&amp;F130</f>
        <v>Fifty One</v>
      </c>
    </row>
    <row r="181" spans="8:8">
      <c r="C181" s="1118">
        <v>52.0</v>
      </c>
      <c r="F181" s="1118" t="str">
        <f t="shared" si="14" ref="F181:F188">$F$179&amp;" "&amp;F131</f>
        <v>Fifty Two</v>
      </c>
    </row>
    <row r="182" spans="8:8">
      <c r="C182" s="1118">
        <v>53.0</v>
      </c>
      <c r="F182" s="1118" t="str">
        <f t="shared" si="14"/>
        <v>Fifty Three</v>
      </c>
    </row>
    <row r="183" spans="8:8">
      <c r="C183" s="1118">
        <v>54.0</v>
      </c>
      <c r="F183" s="1118" t="str">
        <f t="shared" si="14"/>
        <v>Fifty Four</v>
      </c>
    </row>
    <row r="184" spans="8:8">
      <c r="C184" s="1118">
        <v>55.0</v>
      </c>
      <c r="F184" s="1118" t="str">
        <f t="shared" si="14"/>
        <v>Fifty Five</v>
      </c>
    </row>
    <row r="185" spans="8:8">
      <c r="C185" s="1118">
        <v>56.0</v>
      </c>
      <c r="F185" s="1118" t="str">
        <f t="shared" si="14"/>
        <v>Fifty Six</v>
      </c>
    </row>
    <row r="186" spans="8:8">
      <c r="C186" s="1118">
        <v>57.0</v>
      </c>
      <c r="F186" s="1118" t="str">
        <f t="shared" si="14"/>
        <v>Fifty Seven</v>
      </c>
    </row>
    <row r="187" spans="8:8">
      <c r="C187" s="1118">
        <v>58.0</v>
      </c>
      <c r="F187" s="1118" t="str">
        <f t="shared" si="14"/>
        <v>Fifty Eight</v>
      </c>
    </row>
    <row r="188" spans="8:8">
      <c r="C188" s="1118">
        <v>59.0</v>
      </c>
      <c r="F188" s="1118" t="str">
        <f t="shared" si="14"/>
        <v>Fifty Nine</v>
      </c>
    </row>
    <row r="189" spans="8:8">
      <c r="C189" s="1118">
        <v>60.0</v>
      </c>
      <c r="F189" s="1118" t="s">
        <v>462</v>
      </c>
    </row>
    <row r="190" spans="8:8">
      <c r="C190" s="1118">
        <v>61.0</v>
      </c>
      <c r="F190" s="1118" t="str">
        <f>$F$189&amp;" "&amp;F130</f>
        <v>Sixty One</v>
      </c>
    </row>
    <row r="191" spans="8:8">
      <c r="C191" s="1118">
        <v>62.0</v>
      </c>
      <c r="F191" s="1118" t="str">
        <f t="shared" si="15" ref="F191:F198">$F$189&amp;" "&amp;F131</f>
        <v>Sixty Two</v>
      </c>
    </row>
    <row r="192" spans="8:8">
      <c r="C192" s="1118">
        <v>63.0</v>
      </c>
      <c r="F192" s="1118" t="str">
        <f t="shared" si="15"/>
        <v>Sixty Three</v>
      </c>
    </row>
    <row r="193" spans="8:8">
      <c r="C193" s="1118">
        <v>64.0</v>
      </c>
      <c r="F193" s="1118" t="str">
        <f t="shared" si="15"/>
        <v>Sixty Four</v>
      </c>
    </row>
    <row r="194" spans="8:8">
      <c r="C194" s="1118">
        <v>65.0</v>
      </c>
      <c r="F194" s="1118" t="str">
        <f t="shared" si="15"/>
        <v>Sixty Five</v>
      </c>
    </row>
    <row r="195" spans="8:8">
      <c r="C195" s="1118">
        <v>66.0</v>
      </c>
      <c r="F195" s="1118" t="str">
        <f t="shared" si="15"/>
        <v>Sixty Six</v>
      </c>
    </row>
    <row r="196" spans="8:8">
      <c r="C196" s="1118">
        <v>67.0</v>
      </c>
      <c r="F196" s="1118" t="str">
        <f t="shared" si="15"/>
        <v>Sixty Seven</v>
      </c>
    </row>
    <row r="197" spans="8:8">
      <c r="C197" s="1118">
        <v>68.0</v>
      </c>
      <c r="F197" s="1118" t="str">
        <f t="shared" si="15"/>
        <v>Sixty Eight</v>
      </c>
    </row>
    <row r="198" spans="8:8">
      <c r="C198" s="1118">
        <v>69.0</v>
      </c>
      <c r="F198" s="1118" t="str">
        <f t="shared" si="15"/>
        <v>Sixty Nine</v>
      </c>
    </row>
    <row r="199" spans="8:8">
      <c r="C199" s="1118">
        <v>70.0</v>
      </c>
      <c r="F199" s="1118" t="s">
        <v>463</v>
      </c>
    </row>
    <row r="200" spans="8:8">
      <c r="C200" s="1118">
        <v>71.0</v>
      </c>
      <c r="F200" s="1118" t="str">
        <f>$F$199&amp;" "&amp;F130</f>
        <v>Seventy One</v>
      </c>
    </row>
    <row r="201" spans="8:8">
      <c r="C201" s="1118">
        <v>72.0</v>
      </c>
      <c r="F201" s="1118" t="str">
        <f t="shared" si="16" ref="F201:F208">$F$199&amp;" "&amp;F131</f>
        <v>Seventy Two</v>
      </c>
    </row>
    <row r="202" spans="8:8">
      <c r="C202" s="1118">
        <v>73.0</v>
      </c>
      <c r="F202" s="1118" t="str">
        <f t="shared" si="16"/>
        <v>Seventy Three</v>
      </c>
    </row>
    <row r="203" spans="8:8">
      <c r="C203" s="1118">
        <v>74.0</v>
      </c>
      <c r="F203" s="1118" t="str">
        <f t="shared" si="16"/>
        <v>Seventy Four</v>
      </c>
    </row>
    <row r="204" spans="8:8">
      <c r="C204" s="1118">
        <v>75.0</v>
      </c>
      <c r="F204" s="1118" t="str">
        <f t="shared" si="16"/>
        <v>Seventy Five</v>
      </c>
    </row>
    <row r="205" spans="8:8">
      <c r="C205" s="1118">
        <v>76.0</v>
      </c>
      <c r="F205" s="1118" t="str">
        <f t="shared" si="16"/>
        <v>Seventy Six</v>
      </c>
    </row>
    <row r="206" spans="8:8">
      <c r="C206" s="1118">
        <v>77.0</v>
      </c>
      <c r="F206" s="1118" t="str">
        <f t="shared" si="16"/>
        <v>Seventy Seven</v>
      </c>
    </row>
    <row r="207" spans="8:8">
      <c r="C207" s="1118">
        <v>78.0</v>
      </c>
      <c r="F207" s="1118" t="str">
        <f t="shared" si="16"/>
        <v>Seventy Eight</v>
      </c>
    </row>
    <row r="208" spans="8:8">
      <c r="C208" s="1118">
        <v>79.0</v>
      </c>
      <c r="F208" s="1118" t="str">
        <f t="shared" si="16"/>
        <v>Seventy Nine</v>
      </c>
    </row>
    <row r="209" spans="8:8">
      <c r="C209" s="1118">
        <v>80.0</v>
      </c>
      <c r="F209" s="1118" t="s">
        <v>464</v>
      </c>
    </row>
    <row r="210" spans="8:8">
      <c r="C210" s="1118">
        <v>81.0</v>
      </c>
      <c r="F210" s="1118" t="str">
        <f>$F$209&amp;" "&amp;F130</f>
        <v>Eighty One</v>
      </c>
    </row>
    <row r="211" spans="8:8">
      <c r="C211" s="1118">
        <v>82.0</v>
      </c>
      <c r="F211" s="1118" t="str">
        <f t="shared" si="17" ref="F211:F218">$F$209&amp;" "&amp;F131</f>
        <v>Eighty Two</v>
      </c>
    </row>
    <row r="212" spans="8:8">
      <c r="C212" s="1118">
        <v>83.0</v>
      </c>
      <c r="F212" s="1118" t="str">
        <f t="shared" si="17"/>
        <v>Eighty Three</v>
      </c>
    </row>
    <row r="213" spans="8:8">
      <c r="C213" s="1118">
        <v>84.0</v>
      </c>
      <c r="F213" s="1118" t="str">
        <f t="shared" si="17"/>
        <v>Eighty Four</v>
      </c>
    </row>
    <row r="214" spans="8:8">
      <c r="C214" s="1118">
        <v>85.0</v>
      </c>
      <c r="F214" s="1118" t="str">
        <f t="shared" si="17"/>
        <v>Eighty Five</v>
      </c>
    </row>
    <row r="215" spans="8:8">
      <c r="C215" s="1118">
        <v>86.0</v>
      </c>
      <c r="F215" s="1118" t="str">
        <f t="shared" si="17"/>
        <v>Eighty Six</v>
      </c>
    </row>
    <row r="216" spans="8:8">
      <c r="C216" s="1118">
        <v>87.0</v>
      </c>
      <c r="F216" s="1118" t="str">
        <f t="shared" si="17"/>
        <v>Eighty Seven</v>
      </c>
    </row>
    <row r="217" spans="8:8">
      <c r="C217" s="1118">
        <v>88.0</v>
      </c>
      <c r="F217" s="1118" t="str">
        <f t="shared" si="17"/>
        <v>Eighty Eight</v>
      </c>
    </row>
    <row r="218" spans="8:8">
      <c r="C218" s="1118">
        <v>89.0</v>
      </c>
      <c r="F218" s="1118" t="str">
        <f t="shared" si="17"/>
        <v>Eighty Nine</v>
      </c>
    </row>
    <row r="219" spans="8:8">
      <c r="C219" s="1118">
        <v>90.0</v>
      </c>
      <c r="F219" s="1118" t="s">
        <v>465</v>
      </c>
    </row>
    <row r="220" spans="8:8">
      <c r="C220" s="1118">
        <v>91.0</v>
      </c>
      <c r="F220" s="1118" t="str">
        <f>$F$219&amp;" "&amp;F130</f>
        <v>Ninety One</v>
      </c>
    </row>
    <row r="221" spans="8:8">
      <c r="C221" s="1118">
        <v>92.0</v>
      </c>
      <c r="F221" s="1118" t="str">
        <f t="shared" si="18" ref="F221:F228">$F$219&amp;" "&amp;F131</f>
        <v>Ninety Two</v>
      </c>
    </row>
    <row r="222" spans="8:8">
      <c r="C222" s="1118">
        <v>93.0</v>
      </c>
      <c r="F222" s="1118" t="str">
        <f t="shared" si="18"/>
        <v>Ninety Three</v>
      </c>
    </row>
    <row r="223" spans="8:8">
      <c r="C223" s="1118">
        <v>94.0</v>
      </c>
      <c r="F223" s="1118" t="str">
        <f t="shared" si="18"/>
        <v>Ninety Four</v>
      </c>
    </row>
    <row r="224" spans="8:8">
      <c r="C224" s="1118">
        <v>95.0</v>
      </c>
      <c r="F224" s="1118" t="str">
        <f t="shared" si="18"/>
        <v>Ninety Five</v>
      </c>
    </row>
    <row r="225" spans="8:8">
      <c r="C225" s="1118">
        <v>96.0</v>
      </c>
      <c r="F225" s="1118" t="str">
        <f t="shared" si="18"/>
        <v>Ninety Six</v>
      </c>
    </row>
    <row r="226" spans="8:8">
      <c r="C226" s="1118">
        <v>97.0</v>
      </c>
      <c r="F226" s="1118" t="str">
        <f t="shared" si="18"/>
        <v>Ninety Seven</v>
      </c>
    </row>
    <row r="227" spans="8:8">
      <c r="C227" s="1118">
        <v>98.0</v>
      </c>
      <c r="F227" s="1118" t="str">
        <f t="shared" si="18"/>
        <v>Ninety Eight</v>
      </c>
    </row>
    <row r="228" spans="8:8">
      <c r="C228" s="1118">
        <v>99.0</v>
      </c>
      <c r="F228" s="1118" t="str">
        <f t="shared" si="18"/>
        <v>Ninety Nine</v>
      </c>
    </row>
  </sheetData>
  <sheetProtection sheet="0" selectLockedCells="1" selectUnlockedCells="1"/>
  <mergeCells count="2">
    <mergeCell ref="B107:J107"/>
    <mergeCell ref="B109:J109"/>
  </mergeCells>
  <conditionalFormatting sqref="A1:G2 H1:H22 H24:H142 A17:G83 A3:F16 A86:G142 G84:G85 A84:E85 E3:E84 I1:X6 I12:X142 I7:L11 N7:X11 M7:M11">
    <cfRule type="expression" priority="6" dxfId="17">
      <formula>$A$1=1</formula>
    </cfRule>
  </conditionalFormatting>
  <conditionalFormatting sqref="G3:G17">
    <cfRule type="expression" priority="2" dxfId="18">
      <formula>$A$1=1</formula>
    </cfRule>
  </conditionalFormatting>
  <conditionalFormatting sqref="A86:XFD65536 G84:XFD85 A84:E85 E83:E84 A1:XFD6 A12:XFD83 A7:L11 N7:XFD11 M7:M11">
    <cfRule type="expression" priority="1" dxfId="19">
      <formula>"$a$1=1"</formula>
    </cfRule>
  </conditionalFormatting>
  <conditionalFormatting sqref="A1:G2 H1:H22 H24:H65536 A17:G83 A3:F16 A86:G65536 G84:G85 A84:E85 I1:XFD65536">
    <cfRule type="expression" priority="4" dxfId="20">
      <formula>$A$1=1</formula>
    </cfRule>
  </conditionalFormatting>
  <conditionalFormatting sqref="A2:G2 H24:H98 H2:H22 A17:G83 E3:E84 A3:F16 A86:G98 A84:C85">
    <cfRule type="expression" priority="5" dxfId="21">
      <formula>$A$1=1</formula>
    </cfRule>
  </conditionalFormatting>
  <conditionalFormatting sqref="A1:G2 H1:H22 H24:H65536 A17:G83 A3:F16 A86:G65536 G84:G85 A84:E85 E3:E84 I1:XFD6 I12:XFD65536 I7:L11 N7:XFD11 M7:M11">
    <cfRule type="expression" priority="7" dxfId="22">
      <formula>$A$1="1"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Rayuduspothan</dc:creator>
  <cp:keywords>Pothan</cp:keywords>
  <cp:lastModifiedBy>Rayudus</cp:lastModifiedBy>
  <dcterms:created xsi:type="dcterms:W3CDTF">2006-09-15T07:30:00Z</dcterms:created>
  <dcterms:modified xsi:type="dcterms:W3CDTF">2022-02-19T02:54:23Z</dcterms:modified>
</cp:coreProperties>
</file>